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23040" windowHeight="8670" tabRatio="795" activeTab="10"/>
  </bookViews>
  <sheets>
    <sheet name="jak wpisywać wyniki" sheetId="18" r:id="rId1"/>
    <sheet name="szkoły" sheetId="2" r:id="rId2"/>
    <sheet name="wyniki" sheetId="3" r:id="rId3"/>
    <sheet name="60m" sheetId="4" r:id="rId4"/>
    <sheet name="PPAL" sheetId="5" r:id="rId5"/>
    <sheet name="Wzwyż" sheetId="7" r:id="rId6"/>
    <sheet name="W dal" sheetId="6" r:id="rId7"/>
    <sheet name="4boj" sheetId="11" r:id="rId8"/>
    <sheet name="1000m" sheetId="8" r:id="rId9"/>
    <sheet name="I DZIEN" sheetId="10" r:id="rId10"/>
    <sheet name="II DZIEN" sheetId="9" r:id="rId11"/>
    <sheet name="kolejka" sheetId="12" state="hidden" r:id="rId12"/>
    <sheet name="nazwy_wojewodztw" sheetId="16" r:id="rId13"/>
    <sheet name="woj_ranking" sheetId="15" r:id="rId14"/>
    <sheet name="wydruk" sheetId="14" r:id="rId15"/>
    <sheet name="SINGLE" sheetId="13" r:id="rId16"/>
    <sheet name="baza" sheetId="1" state="hidden" r:id="rId17"/>
    <sheet name="Arkusz1" sheetId="17" r:id="rId18"/>
  </sheets>
  <definedNames>
    <definedName name="_xlnm._FilterDatabase" localSheetId="8" hidden="1">'1000m'!$J$1:$N$241</definedName>
    <definedName name="_xlnm._FilterDatabase" localSheetId="7" hidden="1">'4boj'!$J$1:$N$241</definedName>
    <definedName name="_xlnm._FilterDatabase" localSheetId="3" hidden="1">'60m'!$J$1:$N$241</definedName>
    <definedName name="_xlnm._FilterDatabase" localSheetId="4" hidden="1">PPAL!$J$1:$N$241</definedName>
    <definedName name="_xlnm._FilterDatabase" localSheetId="6" hidden="1">'W dal'!$J$1:$N$1</definedName>
    <definedName name="_xlnm._FilterDatabase" localSheetId="5" hidden="1">Wzwyż!$J$1:$N$1</definedName>
    <definedName name="_xlnm.Print_Area" localSheetId="8">'1000m'!$A$1:$N$241</definedName>
    <definedName name="_xlnm.Print_Area" localSheetId="7">'4boj'!$A$1:$N$241</definedName>
    <definedName name="_xlnm.Print_Area" localSheetId="3">'60m'!$A$1:$N$241</definedName>
    <definedName name="_xlnm.Print_Area" localSheetId="9">'I DZIEN'!$A$1:$J$41</definedName>
    <definedName name="_xlnm.Print_Area" localSheetId="10">'II DZIEN'!$F$1:$J$41</definedName>
    <definedName name="_xlnm.Print_Area" localSheetId="4">PPAL!$A$1:$N$241</definedName>
    <definedName name="_xlnm.Print_Area" localSheetId="1">szkoły!$A$1:$D$56</definedName>
    <definedName name="_xlnm.Print_Area" localSheetId="6">'W dal'!$A$1:$N$241</definedName>
    <definedName name="_xlnm.Print_Area" localSheetId="13">woj_ranking!$D$2:$G$34</definedName>
    <definedName name="_xlnm.Print_Area" localSheetId="14">wydruk!$A$1:$N$281</definedName>
    <definedName name="_xlnm.Print_Area" localSheetId="5">Wzwyż!$A$1:$N$241</definedName>
  </definedNames>
  <calcPr calcId="125725"/>
</workbook>
</file>

<file path=xl/calcChain.xml><?xml version="1.0" encoding="utf-8"?>
<calcChain xmlns="http://schemas.openxmlformats.org/spreadsheetml/2006/main">
  <c r="F286" i="3"/>
  <c r="F285"/>
  <c r="F284"/>
  <c r="F283"/>
  <c r="F282"/>
  <c r="F281"/>
  <c r="F279"/>
  <c r="F278"/>
  <c r="F277"/>
  <c r="F276"/>
  <c r="F275"/>
  <c r="F274"/>
  <c r="F272"/>
  <c r="F271"/>
  <c r="F270"/>
  <c r="F269"/>
  <c r="F268"/>
  <c r="F267"/>
  <c r="F265"/>
  <c r="F264"/>
  <c r="F263"/>
  <c r="F262"/>
  <c r="F261"/>
  <c r="F260"/>
  <c r="F258"/>
  <c r="F257"/>
  <c r="F256"/>
  <c r="F255"/>
  <c r="F254"/>
  <c r="F253"/>
  <c r="F251"/>
  <c r="F250"/>
  <c r="F249"/>
  <c r="F248"/>
  <c r="F247"/>
  <c r="F246"/>
  <c r="F244"/>
  <c r="F243"/>
  <c r="F242"/>
  <c r="F241"/>
  <c r="F240"/>
  <c r="F239"/>
  <c r="F237"/>
  <c r="F236"/>
  <c r="F235"/>
  <c r="F234"/>
  <c r="F233"/>
  <c r="F232"/>
  <c r="F230"/>
  <c r="F229"/>
  <c r="F228"/>
  <c r="F227"/>
  <c r="F226"/>
  <c r="F225"/>
  <c r="F223"/>
  <c r="F222"/>
  <c r="F221"/>
  <c r="F220"/>
  <c r="F219"/>
  <c r="F218"/>
  <c r="F216"/>
  <c r="F215"/>
  <c r="F214"/>
  <c r="F213"/>
  <c r="F212"/>
  <c r="F211"/>
  <c r="F209"/>
  <c r="F208"/>
  <c r="F207"/>
  <c r="F206"/>
  <c r="F205"/>
  <c r="F204"/>
  <c r="F202"/>
  <c r="F201"/>
  <c r="F200"/>
  <c r="F199"/>
  <c r="F198"/>
  <c r="F197"/>
  <c r="F195"/>
  <c r="F194"/>
  <c r="F193"/>
  <c r="F192"/>
  <c r="F191"/>
  <c r="F190"/>
  <c r="F188"/>
  <c r="F187"/>
  <c r="F186"/>
  <c r="F185"/>
  <c r="F184"/>
  <c r="F183"/>
  <c r="F181"/>
  <c r="F180"/>
  <c r="F179"/>
  <c r="F178"/>
  <c r="F177"/>
  <c r="F176"/>
  <c r="F174"/>
  <c r="F173"/>
  <c r="F172"/>
  <c r="F171"/>
  <c r="F170"/>
  <c r="F169"/>
  <c r="F167"/>
  <c r="F166"/>
  <c r="F165"/>
  <c r="F164"/>
  <c r="F163"/>
  <c r="F162"/>
  <c r="F160"/>
  <c r="F159"/>
  <c r="F158"/>
  <c r="F157"/>
  <c r="F156"/>
  <c r="F155"/>
  <c r="F153"/>
  <c r="F152"/>
  <c r="F151"/>
  <c r="F150"/>
  <c r="F149"/>
  <c r="F148"/>
  <c r="F146"/>
  <c r="F145"/>
  <c r="F144"/>
  <c r="F143"/>
  <c r="F142"/>
  <c r="F141"/>
  <c r="F139"/>
  <c r="F138"/>
  <c r="F137"/>
  <c r="F136"/>
  <c r="F135"/>
  <c r="F134"/>
  <c r="F132"/>
  <c r="F131"/>
  <c r="F130"/>
  <c r="F129"/>
  <c r="F128"/>
  <c r="F127"/>
  <c r="F125"/>
  <c r="F124"/>
  <c r="F123"/>
  <c r="F122"/>
  <c r="F121"/>
  <c r="F120"/>
  <c r="F118"/>
  <c r="F117"/>
  <c r="F116"/>
  <c r="F115"/>
  <c r="F114"/>
  <c r="F113"/>
  <c r="F111"/>
  <c r="F110"/>
  <c r="F109"/>
  <c r="F108"/>
  <c r="F107"/>
  <c r="F106"/>
  <c r="F104"/>
  <c r="F103"/>
  <c r="F102"/>
  <c r="F101"/>
  <c r="F100"/>
  <c r="F99"/>
  <c r="F97"/>
  <c r="F96"/>
  <c r="F95"/>
  <c r="F94"/>
  <c r="F93"/>
  <c r="F92"/>
  <c r="F90"/>
  <c r="F89"/>
  <c r="F88"/>
  <c r="F87"/>
  <c r="F86"/>
  <c r="F85"/>
  <c r="F83"/>
  <c r="F82"/>
  <c r="F81"/>
  <c r="F80"/>
  <c r="F79"/>
  <c r="F78"/>
  <c r="F76"/>
  <c r="F75"/>
  <c r="F74"/>
  <c r="F73"/>
  <c r="F72"/>
  <c r="F71"/>
  <c r="F69"/>
  <c r="F68"/>
  <c r="F67"/>
  <c r="F66"/>
  <c r="F65"/>
  <c r="F64"/>
  <c r="F62"/>
  <c r="F61"/>
  <c r="F60"/>
  <c r="F59"/>
  <c r="F58"/>
  <c r="F57"/>
  <c r="F55"/>
  <c r="F54"/>
  <c r="F53"/>
  <c r="F52"/>
  <c r="F51"/>
  <c r="F50"/>
  <c r="F48"/>
  <c r="F47"/>
  <c r="F46"/>
  <c r="F45"/>
  <c r="F44"/>
  <c r="F43"/>
  <c r="F41"/>
  <c r="F40"/>
  <c r="F39"/>
  <c r="F38"/>
  <c r="F37"/>
  <c r="F36"/>
  <c r="F34"/>
  <c r="F33"/>
  <c r="F32"/>
  <c r="F31"/>
  <c r="F30"/>
  <c r="F29"/>
  <c r="F27"/>
  <c r="F26"/>
  <c r="F25"/>
  <c r="F24"/>
  <c r="F23"/>
  <c r="F22"/>
  <c r="F20"/>
  <c r="F19"/>
  <c r="F18"/>
  <c r="F17"/>
  <c r="F16"/>
  <c r="F15"/>
  <c r="F13"/>
  <c r="F12"/>
  <c r="F11"/>
  <c r="F10"/>
  <c r="F9"/>
  <c r="F8"/>
  <c r="D8"/>
  <c r="H8"/>
  <c r="J8"/>
  <c r="D9"/>
  <c r="H9"/>
  <c r="J9"/>
  <c r="D10"/>
  <c r="H10"/>
  <c r="J10"/>
  <c r="D11"/>
  <c r="H11"/>
  <c r="J11"/>
  <c r="D12"/>
  <c r="H12"/>
  <c r="J12"/>
  <c r="D13"/>
  <c r="H13"/>
  <c r="J13"/>
  <c r="D15"/>
  <c r="H15"/>
  <c r="J15"/>
  <c r="L15"/>
  <c r="D16"/>
  <c r="H16"/>
  <c r="J16"/>
  <c r="D17"/>
  <c r="H17"/>
  <c r="J17"/>
  <c r="L17"/>
  <c r="D18"/>
  <c r="H18"/>
  <c r="J18"/>
  <c r="D19"/>
  <c r="H19"/>
  <c r="J19"/>
  <c r="D20"/>
  <c r="H20"/>
  <c r="J20"/>
  <c r="L20"/>
  <c r="D22"/>
  <c r="H22"/>
  <c r="J22"/>
  <c r="D23"/>
  <c r="H23"/>
  <c r="J23"/>
  <c r="D24"/>
  <c r="H24"/>
  <c r="J24"/>
  <c r="D25"/>
  <c r="H25"/>
  <c r="J25"/>
  <c r="D26"/>
  <c r="H26"/>
  <c r="J26"/>
  <c r="D27"/>
  <c r="H27"/>
  <c r="J27"/>
  <c r="D29"/>
  <c r="H29"/>
  <c r="J29"/>
  <c r="D30"/>
  <c r="H30"/>
  <c r="J30"/>
  <c r="D31"/>
  <c r="H31"/>
  <c r="J31"/>
  <c r="D32"/>
  <c r="H32"/>
  <c r="J32"/>
  <c r="D33"/>
  <c r="H33"/>
  <c r="J33"/>
  <c r="D34"/>
  <c r="H34"/>
  <c r="J34"/>
  <c r="D36"/>
  <c r="H36"/>
  <c r="J36"/>
  <c r="D37"/>
  <c r="H37"/>
  <c r="J37"/>
  <c r="D38"/>
  <c r="H38"/>
  <c r="J38"/>
  <c r="D39"/>
  <c r="H39"/>
  <c r="J39"/>
  <c r="D40"/>
  <c r="H40"/>
  <c r="J40"/>
  <c r="D41"/>
  <c r="H41"/>
  <c r="J41"/>
  <c r="D43"/>
  <c r="H43"/>
  <c r="J43"/>
  <c r="M43" s="1"/>
  <c r="D44"/>
  <c r="H44"/>
  <c r="J44"/>
  <c r="D45"/>
  <c r="H45"/>
  <c r="J45"/>
  <c r="D46"/>
  <c r="H46"/>
  <c r="J46"/>
  <c r="D47"/>
  <c r="H47"/>
  <c r="J47"/>
  <c r="D48"/>
  <c r="H48"/>
  <c r="J48"/>
  <c r="D50"/>
  <c r="H50"/>
  <c r="J50"/>
  <c r="D51"/>
  <c r="H51"/>
  <c r="J51"/>
  <c r="D52"/>
  <c r="H52"/>
  <c r="J52"/>
  <c r="D53"/>
  <c r="H53"/>
  <c r="J53"/>
  <c r="D54"/>
  <c r="H54"/>
  <c r="J54"/>
  <c r="D55"/>
  <c r="H55"/>
  <c r="J55"/>
  <c r="D57"/>
  <c r="H57"/>
  <c r="J57"/>
  <c r="D58"/>
  <c r="H58"/>
  <c r="J58"/>
  <c r="D59"/>
  <c r="H59"/>
  <c r="J59"/>
  <c r="D60"/>
  <c r="H60"/>
  <c r="J60"/>
  <c r="D61"/>
  <c r="H61"/>
  <c r="J61"/>
  <c r="D62"/>
  <c r="H62"/>
  <c r="J62"/>
  <c r="D64"/>
  <c r="H64"/>
  <c r="J64"/>
  <c r="D65"/>
  <c r="H65"/>
  <c r="J65"/>
  <c r="D66"/>
  <c r="H66"/>
  <c r="J66"/>
  <c r="D67"/>
  <c r="H67"/>
  <c r="J67"/>
  <c r="D68"/>
  <c r="H68"/>
  <c r="J68"/>
  <c r="D69"/>
  <c r="H69"/>
  <c r="J69"/>
  <c r="D71"/>
  <c r="H71"/>
  <c r="J71"/>
  <c r="D72"/>
  <c r="H72"/>
  <c r="J72"/>
  <c r="D73"/>
  <c r="H73"/>
  <c r="J73"/>
  <c r="D74"/>
  <c r="H74"/>
  <c r="J74"/>
  <c r="D75"/>
  <c r="H75"/>
  <c r="J75"/>
  <c r="D76"/>
  <c r="H76"/>
  <c r="J76"/>
  <c r="D78"/>
  <c r="H78"/>
  <c r="J78"/>
  <c r="D79"/>
  <c r="H79"/>
  <c r="J79"/>
  <c r="D80"/>
  <c r="H80"/>
  <c r="J80"/>
  <c r="D81"/>
  <c r="H81"/>
  <c r="J81"/>
  <c r="D82"/>
  <c r="H82"/>
  <c r="J82"/>
  <c r="D83"/>
  <c r="H83"/>
  <c r="J83"/>
  <c r="D85"/>
  <c r="H85"/>
  <c r="J85"/>
  <c r="D86"/>
  <c r="H86"/>
  <c r="J86"/>
  <c r="D87"/>
  <c r="H87"/>
  <c r="J87"/>
  <c r="D88"/>
  <c r="H88"/>
  <c r="J88"/>
  <c r="M88"/>
  <c r="D89"/>
  <c r="H89"/>
  <c r="J89"/>
  <c r="D90"/>
  <c r="H90"/>
  <c r="J90"/>
  <c r="L90"/>
  <c r="D92"/>
  <c r="H92"/>
  <c r="J92"/>
  <c r="D93"/>
  <c r="H93"/>
  <c r="J93"/>
  <c r="D94"/>
  <c r="H94"/>
  <c r="J94"/>
  <c r="D95"/>
  <c r="H95"/>
  <c r="J95"/>
  <c r="D96"/>
  <c r="H96"/>
  <c r="J96"/>
  <c r="D97"/>
  <c r="H97"/>
  <c r="J97"/>
  <c r="D99"/>
  <c r="H99"/>
  <c r="J99"/>
  <c r="L99"/>
  <c r="D100"/>
  <c r="H100"/>
  <c r="J100"/>
  <c r="L100"/>
  <c r="D101"/>
  <c r="H101"/>
  <c r="J101"/>
  <c r="L101"/>
  <c r="D102"/>
  <c r="H102"/>
  <c r="J102"/>
  <c r="L102"/>
  <c r="D103"/>
  <c r="H103"/>
  <c r="J103"/>
  <c r="L103"/>
  <c r="D104"/>
  <c r="H104"/>
  <c r="J104"/>
  <c r="L104"/>
  <c r="D106"/>
  <c r="H106"/>
  <c r="J106"/>
  <c r="L106"/>
  <c r="D107"/>
  <c r="H107"/>
  <c r="J107"/>
  <c r="L107"/>
  <c r="D108"/>
  <c r="H108"/>
  <c r="J108"/>
  <c r="L108"/>
  <c r="D109"/>
  <c r="H109"/>
  <c r="J109"/>
  <c r="L109"/>
  <c r="D110"/>
  <c r="M110" s="1"/>
  <c r="H110"/>
  <c r="J110"/>
  <c r="L110"/>
  <c r="D111"/>
  <c r="H111"/>
  <c r="J111"/>
  <c r="L111"/>
  <c r="D113"/>
  <c r="H113"/>
  <c r="J113"/>
  <c r="L113"/>
  <c r="D114"/>
  <c r="H114"/>
  <c r="J114"/>
  <c r="L114"/>
  <c r="D115"/>
  <c r="H115"/>
  <c r="J115"/>
  <c r="L115"/>
  <c r="D116"/>
  <c r="H116"/>
  <c r="J116"/>
  <c r="L116"/>
  <c r="D117"/>
  <c r="H117"/>
  <c r="J117"/>
  <c r="L117"/>
  <c r="D118"/>
  <c r="H118"/>
  <c r="J118"/>
  <c r="L118"/>
  <c r="D120"/>
  <c r="H120"/>
  <c r="J120"/>
  <c r="L120"/>
  <c r="D121"/>
  <c r="H121"/>
  <c r="J121"/>
  <c r="L121"/>
  <c r="D122"/>
  <c r="H122"/>
  <c r="J122"/>
  <c r="L122"/>
  <c r="D123"/>
  <c r="H123"/>
  <c r="J123"/>
  <c r="L123"/>
  <c r="D124"/>
  <c r="H124"/>
  <c r="J124"/>
  <c r="L124"/>
  <c r="D125"/>
  <c r="H125"/>
  <c r="J125"/>
  <c r="L125"/>
  <c r="D127"/>
  <c r="H127"/>
  <c r="J127"/>
  <c r="L127"/>
  <c r="D128"/>
  <c r="H128"/>
  <c r="J128"/>
  <c r="L128"/>
  <c r="D129"/>
  <c r="H129"/>
  <c r="J129"/>
  <c r="L129"/>
  <c r="D130"/>
  <c r="H130"/>
  <c r="J130"/>
  <c r="L130"/>
  <c r="D131"/>
  <c r="H131"/>
  <c r="J131"/>
  <c r="L131"/>
  <c r="D132"/>
  <c r="H132"/>
  <c r="J132"/>
  <c r="L132"/>
  <c r="D134"/>
  <c r="H134"/>
  <c r="J134"/>
  <c r="L134"/>
  <c r="D135"/>
  <c r="H135"/>
  <c r="J135"/>
  <c r="L135"/>
  <c r="D136"/>
  <c r="H136"/>
  <c r="J136"/>
  <c r="L136"/>
  <c r="D137"/>
  <c r="H137"/>
  <c r="J137"/>
  <c r="L137"/>
  <c r="D138"/>
  <c r="H138"/>
  <c r="J138"/>
  <c r="L138"/>
  <c r="D139"/>
  <c r="H139"/>
  <c r="J139"/>
  <c r="L139"/>
  <c r="D141"/>
  <c r="H141"/>
  <c r="J141"/>
  <c r="L141"/>
  <c r="D142"/>
  <c r="H142"/>
  <c r="J142"/>
  <c r="L142"/>
  <c r="D143"/>
  <c r="H143"/>
  <c r="J143"/>
  <c r="L143"/>
  <c r="D144"/>
  <c r="H144"/>
  <c r="J144"/>
  <c r="L144"/>
  <c r="D145"/>
  <c r="H145"/>
  <c r="J145"/>
  <c r="L145"/>
  <c r="D146"/>
  <c r="H146"/>
  <c r="J146"/>
  <c r="L146"/>
  <c r="D148"/>
  <c r="H148"/>
  <c r="J148"/>
  <c r="L148"/>
  <c r="D149"/>
  <c r="H149"/>
  <c r="J149"/>
  <c r="L149"/>
  <c r="D150"/>
  <c r="H150"/>
  <c r="J150"/>
  <c r="L150"/>
  <c r="D151"/>
  <c r="H151"/>
  <c r="J151"/>
  <c r="L151"/>
  <c r="D152"/>
  <c r="H152"/>
  <c r="J152"/>
  <c r="L152"/>
  <c r="D153"/>
  <c r="H153"/>
  <c r="J153"/>
  <c r="L153"/>
  <c r="D155"/>
  <c r="H155"/>
  <c r="J155"/>
  <c r="L155"/>
  <c r="D156"/>
  <c r="H156"/>
  <c r="J156"/>
  <c r="L156"/>
  <c r="D157"/>
  <c r="H157"/>
  <c r="J157"/>
  <c r="L157"/>
  <c r="D158"/>
  <c r="H158"/>
  <c r="J158"/>
  <c r="L158"/>
  <c r="D159"/>
  <c r="H159"/>
  <c r="J159"/>
  <c r="L159"/>
  <c r="D160"/>
  <c r="H160"/>
  <c r="J160"/>
  <c r="L160"/>
  <c r="D162"/>
  <c r="H162"/>
  <c r="J162"/>
  <c r="L162"/>
  <c r="D163"/>
  <c r="H163"/>
  <c r="J163"/>
  <c r="L163"/>
  <c r="D164"/>
  <c r="H164"/>
  <c r="J164"/>
  <c r="L164"/>
  <c r="D165"/>
  <c r="H165"/>
  <c r="J165"/>
  <c r="L165"/>
  <c r="D166"/>
  <c r="H166"/>
  <c r="J166"/>
  <c r="L166"/>
  <c r="D167"/>
  <c r="H167"/>
  <c r="J167"/>
  <c r="L167"/>
  <c r="D169"/>
  <c r="H169"/>
  <c r="J169"/>
  <c r="L169"/>
  <c r="D170"/>
  <c r="H170"/>
  <c r="J170"/>
  <c r="L170"/>
  <c r="D171"/>
  <c r="H171"/>
  <c r="J171"/>
  <c r="L171"/>
  <c r="D172"/>
  <c r="H172"/>
  <c r="J172"/>
  <c r="L172"/>
  <c r="D173"/>
  <c r="H173"/>
  <c r="J173"/>
  <c r="L173"/>
  <c r="D174"/>
  <c r="H174"/>
  <c r="J174"/>
  <c r="L174"/>
  <c r="D176"/>
  <c r="H176"/>
  <c r="J176"/>
  <c r="L176"/>
  <c r="D177"/>
  <c r="H177"/>
  <c r="J177"/>
  <c r="L177"/>
  <c r="D178"/>
  <c r="H178"/>
  <c r="J178"/>
  <c r="L178"/>
  <c r="D179"/>
  <c r="H179"/>
  <c r="J179"/>
  <c r="L179"/>
  <c r="D180"/>
  <c r="H180"/>
  <c r="J180"/>
  <c r="L180"/>
  <c r="D181"/>
  <c r="H181"/>
  <c r="J181"/>
  <c r="L181"/>
  <c r="D183"/>
  <c r="H183"/>
  <c r="J183"/>
  <c r="L183"/>
  <c r="D184"/>
  <c r="H184"/>
  <c r="J184"/>
  <c r="L184"/>
  <c r="D185"/>
  <c r="H185"/>
  <c r="J185"/>
  <c r="L185"/>
  <c r="D186"/>
  <c r="H186"/>
  <c r="J186"/>
  <c r="L186"/>
  <c r="D187"/>
  <c r="H187"/>
  <c r="J187"/>
  <c r="M187"/>
  <c r="L187"/>
  <c r="D188"/>
  <c r="H188"/>
  <c r="J188"/>
  <c r="L188"/>
  <c r="D190"/>
  <c r="H190"/>
  <c r="J190"/>
  <c r="L190"/>
  <c r="D191"/>
  <c r="H191"/>
  <c r="J191"/>
  <c r="L191"/>
  <c r="D192"/>
  <c r="H192"/>
  <c r="J192"/>
  <c r="L192"/>
  <c r="D193"/>
  <c r="H193"/>
  <c r="J193"/>
  <c r="L193"/>
  <c r="D194"/>
  <c r="H194"/>
  <c r="J194"/>
  <c r="L194"/>
  <c r="D195"/>
  <c r="H195"/>
  <c r="J195"/>
  <c r="L195"/>
  <c r="D197"/>
  <c r="H197"/>
  <c r="J197"/>
  <c r="L197"/>
  <c r="D198"/>
  <c r="H198"/>
  <c r="J198"/>
  <c r="L198"/>
  <c r="D199"/>
  <c r="H199"/>
  <c r="J199"/>
  <c r="L199"/>
  <c r="D200"/>
  <c r="H200"/>
  <c r="J200"/>
  <c r="L200"/>
  <c r="D201"/>
  <c r="H201"/>
  <c r="J201"/>
  <c r="L201"/>
  <c r="D202"/>
  <c r="H202"/>
  <c r="J202"/>
  <c r="L202"/>
  <c r="D204"/>
  <c r="H204"/>
  <c r="J204"/>
  <c r="L204"/>
  <c r="D205"/>
  <c r="H205"/>
  <c r="J205"/>
  <c r="L205"/>
  <c r="D206"/>
  <c r="H206"/>
  <c r="J206"/>
  <c r="L206"/>
  <c r="D207"/>
  <c r="H207"/>
  <c r="J207"/>
  <c r="L207"/>
  <c r="D208"/>
  <c r="H208"/>
  <c r="J208"/>
  <c r="L208"/>
  <c r="D209"/>
  <c r="H209"/>
  <c r="J209"/>
  <c r="L209"/>
  <c r="D211"/>
  <c r="H211"/>
  <c r="J211"/>
  <c r="L211"/>
  <c r="D212"/>
  <c r="H212"/>
  <c r="J212"/>
  <c r="L212"/>
  <c r="D213"/>
  <c r="H213"/>
  <c r="J213"/>
  <c r="L213"/>
  <c r="D214"/>
  <c r="H214"/>
  <c r="J214"/>
  <c r="L214"/>
  <c r="D215"/>
  <c r="H215"/>
  <c r="J215"/>
  <c r="L215"/>
  <c r="D216"/>
  <c r="H216"/>
  <c r="J216"/>
  <c r="L216"/>
  <c r="D218"/>
  <c r="H218"/>
  <c r="J218"/>
  <c r="L218"/>
  <c r="D219"/>
  <c r="H219"/>
  <c r="J219"/>
  <c r="L219"/>
  <c r="D220"/>
  <c r="H220"/>
  <c r="J220"/>
  <c r="L220"/>
  <c r="D221"/>
  <c r="H221"/>
  <c r="J221"/>
  <c r="L221"/>
  <c r="D222"/>
  <c r="H222"/>
  <c r="J222"/>
  <c r="L222"/>
  <c r="D223"/>
  <c r="H223"/>
  <c r="J223"/>
  <c r="L223"/>
  <c r="D225"/>
  <c r="H225"/>
  <c r="J225"/>
  <c r="L225"/>
  <c r="D226"/>
  <c r="H226"/>
  <c r="J226"/>
  <c r="L226"/>
  <c r="D227"/>
  <c r="H227"/>
  <c r="J227"/>
  <c r="L227"/>
  <c r="D228"/>
  <c r="H228"/>
  <c r="J228"/>
  <c r="L228"/>
  <c r="D229"/>
  <c r="H229"/>
  <c r="J229"/>
  <c r="L229"/>
  <c r="D230"/>
  <c r="H230"/>
  <c r="J230"/>
  <c r="L230"/>
  <c r="D232"/>
  <c r="H232"/>
  <c r="J232"/>
  <c r="L232"/>
  <c r="D233"/>
  <c r="H233"/>
  <c r="J233"/>
  <c r="L233"/>
  <c r="D234"/>
  <c r="H234"/>
  <c r="J234"/>
  <c r="L234"/>
  <c r="D235"/>
  <c r="H235"/>
  <c r="J235"/>
  <c r="L235"/>
  <c r="D236"/>
  <c r="H236"/>
  <c r="J236"/>
  <c r="L236"/>
  <c r="D237"/>
  <c r="H237"/>
  <c r="J237"/>
  <c r="L237"/>
  <c r="D239"/>
  <c r="H239"/>
  <c r="J239"/>
  <c r="M239" s="1"/>
  <c r="N239" s="1"/>
  <c r="L239"/>
  <c r="D240"/>
  <c r="H240"/>
  <c r="J240"/>
  <c r="L240"/>
  <c r="D241"/>
  <c r="H241"/>
  <c r="J241"/>
  <c r="L241"/>
  <c r="D242"/>
  <c r="H242"/>
  <c r="J242"/>
  <c r="L242"/>
  <c r="D243"/>
  <c r="H243"/>
  <c r="J243"/>
  <c r="L243"/>
  <c r="D244"/>
  <c r="H244"/>
  <c r="J244"/>
  <c r="L244"/>
  <c r="D246"/>
  <c r="H246"/>
  <c r="J246"/>
  <c r="L246"/>
  <c r="D247"/>
  <c r="H247"/>
  <c r="J247"/>
  <c r="L247"/>
  <c r="D248"/>
  <c r="H248"/>
  <c r="J248"/>
  <c r="L248"/>
  <c r="D249"/>
  <c r="H249"/>
  <c r="J249"/>
  <c r="L249"/>
  <c r="D250"/>
  <c r="H250"/>
  <c r="J250"/>
  <c r="L250"/>
  <c r="D251"/>
  <c r="H251"/>
  <c r="J251"/>
  <c r="L251"/>
  <c r="D253"/>
  <c r="H253"/>
  <c r="J253"/>
  <c r="L253"/>
  <c r="D254"/>
  <c r="H254"/>
  <c r="J254"/>
  <c r="L254"/>
  <c r="D255"/>
  <c r="H255"/>
  <c r="J255"/>
  <c r="L255"/>
  <c r="D256"/>
  <c r="H256"/>
  <c r="J256"/>
  <c r="L256"/>
  <c r="D257"/>
  <c r="H257"/>
  <c r="J257"/>
  <c r="L257"/>
  <c r="D258"/>
  <c r="H258"/>
  <c r="J258"/>
  <c r="L258"/>
  <c r="D260"/>
  <c r="H260"/>
  <c r="J260"/>
  <c r="L260"/>
  <c r="D261"/>
  <c r="H261"/>
  <c r="J261"/>
  <c r="L261"/>
  <c r="D262"/>
  <c r="H262"/>
  <c r="J262"/>
  <c r="L262"/>
  <c r="D263"/>
  <c r="H263"/>
  <c r="J263"/>
  <c r="L263"/>
  <c r="D264"/>
  <c r="H264"/>
  <c r="J264"/>
  <c r="L264"/>
  <c r="D265"/>
  <c r="H265"/>
  <c r="J265"/>
  <c r="L265"/>
  <c r="D267"/>
  <c r="H267"/>
  <c r="M267" s="1"/>
  <c r="J267"/>
  <c r="L267"/>
  <c r="N267" s="1"/>
  <c r="D268"/>
  <c r="H268"/>
  <c r="J268"/>
  <c r="L268"/>
  <c r="D269"/>
  <c r="H269"/>
  <c r="J269"/>
  <c r="L269"/>
  <c r="D270"/>
  <c r="H270"/>
  <c r="J270"/>
  <c r="L270"/>
  <c r="D271"/>
  <c r="H271"/>
  <c r="J271"/>
  <c r="L271"/>
  <c r="D272"/>
  <c r="H272"/>
  <c r="J272"/>
  <c r="L272"/>
  <c r="D274"/>
  <c r="H274"/>
  <c r="J274"/>
  <c r="L274"/>
  <c r="D275"/>
  <c r="H275"/>
  <c r="J275"/>
  <c r="L275"/>
  <c r="D276"/>
  <c r="H276"/>
  <c r="J276"/>
  <c r="L276"/>
  <c r="D277"/>
  <c r="H277"/>
  <c r="J277"/>
  <c r="L277"/>
  <c r="D278"/>
  <c r="H278"/>
  <c r="J278"/>
  <c r="L278"/>
  <c r="D279"/>
  <c r="H279"/>
  <c r="J279"/>
  <c r="L279"/>
  <c r="D281"/>
  <c r="H281"/>
  <c r="M281" s="1"/>
  <c r="J281"/>
  <c r="L281"/>
  <c r="D282"/>
  <c r="H282"/>
  <c r="J282"/>
  <c r="L282"/>
  <c r="D283"/>
  <c r="H283"/>
  <c r="J283"/>
  <c r="L283"/>
  <c r="D284"/>
  <c r="H284"/>
  <c r="J284"/>
  <c r="L284"/>
  <c r="D285"/>
  <c r="H285"/>
  <c r="J285"/>
  <c r="L285"/>
  <c r="D286"/>
  <c r="H286"/>
  <c r="J286"/>
  <c r="L286"/>
  <c r="A266"/>
  <c r="B38" i="16" s="1"/>
  <c r="A259" i="3"/>
  <c r="A252"/>
  <c r="A245"/>
  <c r="E36" i="9"/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A280" i="3"/>
  <c r="A273"/>
  <c r="B35" i="16"/>
  <c r="A238" i="3"/>
  <c r="B34" i="16"/>
  <c r="A231" i="3"/>
  <c r="F198" i="11"/>
  <c r="A224" i="3"/>
  <c r="B32" i="16"/>
  <c r="A217" i="3"/>
  <c r="B31" i="16"/>
  <c r="A210" i="3"/>
  <c r="B30" i="16" s="1"/>
  <c r="A203" i="3"/>
  <c r="B29" i="16" s="1"/>
  <c r="A196" i="3"/>
  <c r="E29" i="9"/>
  <c r="A189" i="3"/>
  <c r="F162" i="11"/>
  <c r="A182" i="3"/>
  <c r="A175"/>
  <c r="F150" i="8" s="1"/>
  <c r="A168" i="3"/>
  <c r="A161"/>
  <c r="A154"/>
  <c r="B22" i="16"/>
  <c r="A147" i="3"/>
  <c r="B21" i="16"/>
  <c r="A140" i="3"/>
  <c r="B20" i="16" s="1"/>
  <c r="A133" i="3"/>
  <c r="B19" i="16" s="1"/>
  <c r="A126" i="3"/>
  <c r="B18" i="16"/>
  <c r="A119" i="3"/>
  <c r="B17" i="16"/>
  <c r="A112" i="3"/>
  <c r="B16" i="16" s="1"/>
  <c r="A105" i="3"/>
  <c r="B15" i="16" s="1"/>
  <c r="A98" i="3"/>
  <c r="E15" i="9" s="1"/>
  <c r="B14" i="16"/>
  <c r="A91" i="3"/>
  <c r="A84"/>
  <c r="F69" i="11" s="1"/>
  <c r="A77" i="3"/>
  <c r="B11" i="16" s="1"/>
  <c r="A70" i="3"/>
  <c r="A63"/>
  <c r="F55" i="11" s="1"/>
  <c r="A56" i="3"/>
  <c r="A49"/>
  <c r="A42"/>
  <c r="A35"/>
  <c r="A28"/>
  <c r="A21"/>
  <c r="A14"/>
  <c r="A7"/>
  <c r="F5" i="8" s="1"/>
  <c r="E4" i="9"/>
  <c r="E16"/>
  <c r="E27"/>
  <c r="E20"/>
  <c r="E22"/>
  <c r="E18"/>
  <c r="E30"/>
  <c r="B166" i="3"/>
  <c r="G138" i="11" s="1"/>
  <c r="B163" i="3"/>
  <c r="D153" i="1"/>
  <c r="D127"/>
  <c r="D114"/>
  <c r="D108"/>
  <c r="D106"/>
  <c r="D107"/>
  <c r="B86" i="3"/>
  <c r="B87"/>
  <c r="G70" i="11"/>
  <c r="B88" i="3"/>
  <c r="G71" i="11"/>
  <c r="B89" i="3"/>
  <c r="G72" i="11"/>
  <c r="B90" i="3"/>
  <c r="G73" i="11"/>
  <c r="B8" i="3"/>
  <c r="B12"/>
  <c r="G6" i="11" s="1"/>
  <c r="B285" i="3"/>
  <c r="B284"/>
  <c r="G239" i="11" s="1"/>
  <c r="B283" i="3"/>
  <c r="G238" i="11" s="1"/>
  <c r="B282" i="3"/>
  <c r="G237" i="11" s="1"/>
  <c r="B281" i="3"/>
  <c r="G236" i="11" s="1"/>
  <c r="B279" i="3"/>
  <c r="G235" i="11" s="1"/>
  <c r="B278" i="3"/>
  <c r="B277"/>
  <c r="B276"/>
  <c r="G232" i="11" s="1"/>
  <c r="B275" i="3"/>
  <c r="B274"/>
  <c r="B272"/>
  <c r="G229" i="11"/>
  <c r="B271" i="3"/>
  <c r="B270"/>
  <c r="G227" i="11" s="1"/>
  <c r="B269" i="3"/>
  <c r="B268"/>
  <c r="G225" i="11" s="1"/>
  <c r="B267" i="3"/>
  <c r="B265"/>
  <c r="G223" i="11" s="1"/>
  <c r="B264" i="3"/>
  <c r="B263"/>
  <c r="G221" i="11" s="1"/>
  <c r="B262" i="3"/>
  <c r="G220" i="11" s="1"/>
  <c r="B261" i="3"/>
  <c r="G219" i="11" s="1"/>
  <c r="B260" i="3"/>
  <c r="B258"/>
  <c r="B257"/>
  <c r="B256"/>
  <c r="G215" i="11"/>
  <c r="B255" i="3"/>
  <c r="G214" i="11"/>
  <c r="B254" i="3"/>
  <c r="G213" i="11"/>
  <c r="B253" i="3"/>
  <c r="G212" i="11"/>
  <c r="B251" i="3"/>
  <c r="G211" i="11"/>
  <c r="B250" i="3"/>
  <c r="B249"/>
  <c r="G209" i="11" s="1"/>
  <c r="B248" i="3"/>
  <c r="B247"/>
  <c r="G207" i="11" s="1"/>
  <c r="B246" i="3"/>
  <c r="B244"/>
  <c r="G205" i="11" s="1"/>
  <c r="B243" i="3"/>
  <c r="B204" i="5"/>
  <c r="B242" i="3"/>
  <c r="G203" i="11"/>
  <c r="B241" i="3"/>
  <c r="G202" i="11"/>
  <c r="B240" i="3"/>
  <c r="G201" i="11"/>
  <c r="B239" i="3"/>
  <c r="G200" i="11"/>
  <c r="B237" i="3"/>
  <c r="G199" i="11"/>
  <c r="B236" i="3"/>
  <c r="B235"/>
  <c r="B234"/>
  <c r="G196" i="11" s="1"/>
  <c r="B233" i="3"/>
  <c r="B232"/>
  <c r="B230"/>
  <c r="G193" i="11"/>
  <c r="B229" i="3"/>
  <c r="B192" i="4"/>
  <c r="B228" i="3"/>
  <c r="G191" i="11"/>
  <c r="B227" i="3"/>
  <c r="G190" i="11"/>
  <c r="B226" i="3"/>
  <c r="G189" i="11"/>
  <c r="B225" i="3"/>
  <c r="G188" i="11"/>
  <c r="B223" i="3"/>
  <c r="G187" i="11"/>
  <c r="B222" i="3"/>
  <c r="B221"/>
  <c r="G185" i="11" s="1"/>
  <c r="B220" i="3"/>
  <c r="B219"/>
  <c r="G183" i="11" s="1"/>
  <c r="B218" i="3"/>
  <c r="B216"/>
  <c r="G181" i="11" s="1"/>
  <c r="B215" i="3"/>
  <c r="B214"/>
  <c r="B213"/>
  <c r="G178" i="11" s="1"/>
  <c r="B212" i="3"/>
  <c r="B211"/>
  <c r="G176" i="11" s="1"/>
  <c r="B209" i="3"/>
  <c r="B208"/>
  <c r="B207"/>
  <c r="G173" i="11"/>
  <c r="B206" i="3"/>
  <c r="G172" i="11"/>
  <c r="B205" i="3"/>
  <c r="G171" i="11"/>
  <c r="B204" i="3"/>
  <c r="B202"/>
  <c r="G169" i="11" s="1"/>
  <c r="B201" i="3"/>
  <c r="B200"/>
  <c r="G167" i="11" s="1"/>
  <c r="B199" i="3"/>
  <c r="G166" i="11" s="1"/>
  <c r="B198" i="3"/>
  <c r="G165" i="11" s="1"/>
  <c r="B197" i="3"/>
  <c r="G164" i="11" s="1"/>
  <c r="B195" i="3"/>
  <c r="G163" i="11" s="1"/>
  <c r="B194" i="3"/>
  <c r="B193"/>
  <c r="B192"/>
  <c r="G160" i="11" s="1"/>
  <c r="B191" i="3"/>
  <c r="B190"/>
  <c r="B188"/>
  <c r="G157" i="11"/>
  <c r="B187" i="3"/>
  <c r="B186"/>
  <c r="G155" i="11" s="1"/>
  <c r="B185" i="3"/>
  <c r="B184"/>
  <c r="G153" i="11" s="1"/>
  <c r="B183" i="3"/>
  <c r="B181"/>
  <c r="G151" i="11" s="1"/>
  <c r="B180" i="3"/>
  <c r="B179"/>
  <c r="G149" i="11" s="1"/>
  <c r="B178" i="3"/>
  <c r="G148" i="11" s="1"/>
  <c r="B177" i="3"/>
  <c r="G147" i="11" s="1"/>
  <c r="B176" i="3"/>
  <c r="B174"/>
  <c r="B173"/>
  <c r="B144" i="8" s="1"/>
  <c r="B172" i="3"/>
  <c r="B171"/>
  <c r="G142" i="11" s="1"/>
  <c r="B170" i="3"/>
  <c r="B169"/>
  <c r="G140" i="11" s="1"/>
  <c r="B167" i="3"/>
  <c r="B165"/>
  <c r="B164"/>
  <c r="G136" i="11"/>
  <c r="B162" i="3"/>
  <c r="G134" i="11"/>
  <c r="B160" i="3"/>
  <c r="G133" i="11"/>
  <c r="B159" i="3"/>
  <c r="B158"/>
  <c r="G131" i="11" s="1"/>
  <c r="B157" i="3"/>
  <c r="B156"/>
  <c r="G129" i="11" s="1"/>
  <c r="B155" i="3"/>
  <c r="B153"/>
  <c r="G127" i="11" s="1"/>
  <c r="B152" i="3"/>
  <c r="B151"/>
  <c r="G125" i="11" s="1"/>
  <c r="B150" i="3"/>
  <c r="B149"/>
  <c r="G123" i="11" s="1"/>
  <c r="B148" i="3"/>
  <c r="B146"/>
  <c r="G121" i="11" s="1"/>
  <c r="B145" i="3"/>
  <c r="B144"/>
  <c r="G119" i="11" s="1"/>
  <c r="B143" i="3"/>
  <c r="B142"/>
  <c r="G117" i="11" s="1"/>
  <c r="B141" i="3"/>
  <c r="B139"/>
  <c r="B138"/>
  <c r="G114" i="11" s="1"/>
  <c r="B137" i="3"/>
  <c r="B136"/>
  <c r="G112" i="11" s="1"/>
  <c r="B135" i="3"/>
  <c r="B134"/>
  <c r="G110" i="11" s="1"/>
  <c r="B132" i="3"/>
  <c r="B131"/>
  <c r="B130"/>
  <c r="G107" i="11"/>
  <c r="B129" i="3"/>
  <c r="G106" i="11"/>
  <c r="B128" i="3"/>
  <c r="G105" i="11"/>
  <c r="B127" i="3"/>
  <c r="G104" i="11"/>
  <c r="B125" i="3"/>
  <c r="G103" i="11"/>
  <c r="B124" i="3"/>
  <c r="B123"/>
  <c r="B122"/>
  <c r="G100" i="11"/>
  <c r="B121" i="3"/>
  <c r="G99" i="11"/>
  <c r="B120" i="3"/>
  <c r="G98" i="11"/>
  <c r="B118" i="3"/>
  <c r="G97" i="11"/>
  <c r="B117" i="3"/>
  <c r="G96" i="11"/>
  <c r="B116" i="3"/>
  <c r="B115"/>
  <c r="B114"/>
  <c r="G93" i="11"/>
  <c r="B113" i="3"/>
  <c r="G92" i="11"/>
  <c r="B111" i="3"/>
  <c r="G91" i="11"/>
  <c r="B110" i="3"/>
  <c r="G90" i="11"/>
  <c r="B109" i="3"/>
  <c r="G89" i="11"/>
  <c r="B108" i="3"/>
  <c r="B107"/>
  <c r="G87" i="11" s="1"/>
  <c r="B106" i="3"/>
  <c r="B104"/>
  <c r="G85" i="11" s="1"/>
  <c r="B103" i="3"/>
  <c r="G84" i="11" s="1"/>
  <c r="B102" i="3"/>
  <c r="G83" i="11" s="1"/>
  <c r="B101" i="3"/>
  <c r="G82" i="11" s="1"/>
  <c r="B100" i="3"/>
  <c r="G81" i="11" s="1"/>
  <c r="B99" i="3"/>
  <c r="G80" i="11" s="1"/>
  <c r="B97" i="3"/>
  <c r="G79" i="11" s="1"/>
  <c r="B96" i="3"/>
  <c r="B95"/>
  <c r="B94"/>
  <c r="G76" i="11" s="1"/>
  <c r="B93" i="3"/>
  <c r="B92"/>
  <c r="G74" i="11" s="1"/>
  <c r="B85" i="3"/>
  <c r="B83"/>
  <c r="G67" i="11" s="1"/>
  <c r="B82" i="3"/>
  <c r="B81"/>
  <c r="G65" i="11" s="1"/>
  <c r="B80" i="3"/>
  <c r="B79"/>
  <c r="B78"/>
  <c r="G62" i="11"/>
  <c r="B76" i="3"/>
  <c r="B75"/>
  <c r="B60" i="4" s="1"/>
  <c r="B74" i="3"/>
  <c r="B73"/>
  <c r="G58" i="11" s="1"/>
  <c r="B72" i="3"/>
  <c r="B71"/>
  <c r="G56" i="11" s="1"/>
  <c r="B69" i="3"/>
  <c r="B68"/>
  <c r="G54" i="11" s="1"/>
  <c r="B67" i="3"/>
  <c r="B66"/>
  <c r="G52" i="11" s="1"/>
  <c r="B65" i="3"/>
  <c r="B64"/>
  <c r="G50" i="11" s="1"/>
  <c r="B62" i="3"/>
  <c r="B61"/>
  <c r="B60"/>
  <c r="G47" i="11" s="1"/>
  <c r="B59" i="3"/>
  <c r="B58"/>
  <c r="G45" i="11" s="1"/>
  <c r="B57" i="3"/>
  <c r="B55"/>
  <c r="G43" i="11" s="1"/>
  <c r="B54" i="3"/>
  <c r="B53"/>
  <c r="G41" i="11" s="1"/>
  <c r="B52" i="3"/>
  <c r="B51"/>
  <c r="B50"/>
  <c r="G38" i="11" s="1"/>
  <c r="B48" i="3"/>
  <c r="B47"/>
  <c r="G36" i="11" s="1"/>
  <c r="B46" i="3"/>
  <c r="B45"/>
  <c r="G34" i="11" s="1"/>
  <c r="B44" i="3"/>
  <c r="B43"/>
  <c r="G32" i="11" s="1"/>
  <c r="B41" i="3"/>
  <c r="B40"/>
  <c r="G30" i="11" s="1"/>
  <c r="B39" i="3"/>
  <c r="B38"/>
  <c r="B37"/>
  <c r="G27" i="11" s="1"/>
  <c r="B36" i="3"/>
  <c r="B34"/>
  <c r="G25" i="11" s="1"/>
  <c r="B33" i="3"/>
  <c r="B32"/>
  <c r="G23" i="11" s="1"/>
  <c r="B31" i="3"/>
  <c r="B30"/>
  <c r="G21" i="11" s="1"/>
  <c r="B29" i="3"/>
  <c r="B27"/>
  <c r="G19" i="11" s="1"/>
  <c r="B26" i="3"/>
  <c r="B25"/>
  <c r="B24"/>
  <c r="G16" i="11" s="1"/>
  <c r="B23" i="3"/>
  <c r="B22"/>
  <c r="G14" i="11" s="1"/>
  <c r="B20" i="3"/>
  <c r="B19"/>
  <c r="G12" i="11" s="1"/>
  <c r="B18" i="3"/>
  <c r="B17"/>
  <c r="G10" i="11" s="1"/>
  <c r="B16" i="3"/>
  <c r="B15"/>
  <c r="B13"/>
  <c r="B11"/>
  <c r="G5" i="11"/>
  <c r="B10" i="3"/>
  <c r="G4" i="11"/>
  <c r="B9" i="3"/>
  <c r="G3" i="11"/>
  <c r="B286" i="3"/>
  <c r="G241" i="11"/>
  <c r="F237"/>
  <c r="F229"/>
  <c r="F225"/>
  <c r="F211"/>
  <c r="F210"/>
  <c r="F209"/>
  <c r="F208"/>
  <c r="F207"/>
  <c r="F206"/>
  <c r="F205"/>
  <c r="F204"/>
  <c r="F203"/>
  <c r="F202"/>
  <c r="F201"/>
  <c r="F200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57"/>
  <c r="F155"/>
  <c r="F153"/>
  <c r="F144"/>
  <c r="F142"/>
  <c r="F140"/>
  <c r="F136"/>
  <c r="F133"/>
  <c r="F131"/>
  <c r="F129"/>
  <c r="F127"/>
  <c r="F126"/>
  <c r="F125"/>
  <c r="F124"/>
  <c r="F123"/>
  <c r="F122"/>
  <c r="F121"/>
  <c r="F120"/>
  <c r="F119"/>
  <c r="F118"/>
  <c r="F117"/>
  <c r="F116"/>
  <c r="F114"/>
  <c r="F112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1"/>
  <c r="F45"/>
  <c r="F33"/>
  <c r="F29"/>
  <c r="F24"/>
  <c r="F20"/>
  <c r="F18"/>
  <c r="F16"/>
  <c r="F14"/>
  <c r="F8"/>
  <c r="E35" i="9"/>
  <c r="E33"/>
  <c r="E32"/>
  <c r="E31"/>
  <c r="E22" i="10"/>
  <c r="E39"/>
  <c r="E27"/>
  <c r="E36"/>
  <c r="E35"/>
  <c r="E20"/>
  <c r="E33"/>
  <c r="E32"/>
  <c r="E15"/>
  <c r="E31"/>
  <c r="E30"/>
  <c r="E29"/>
  <c r="E17"/>
  <c r="E18"/>
  <c r="E16"/>
  <c r="E21"/>
  <c r="E19"/>
  <c r="C237" i="8"/>
  <c r="E237" s="1"/>
  <c r="C238"/>
  <c r="C239"/>
  <c r="G239" s="1"/>
  <c r="C240"/>
  <c r="E240" s="1"/>
  <c r="C241"/>
  <c r="G241" s="1"/>
  <c r="C236"/>
  <c r="C231"/>
  <c r="E231" s="1"/>
  <c r="C232"/>
  <c r="G232" s="1"/>
  <c r="C233"/>
  <c r="E233"/>
  <c r="C234"/>
  <c r="C235"/>
  <c r="E235" s="1"/>
  <c r="C230"/>
  <c r="G230" s="1"/>
  <c r="C225"/>
  <c r="E225" s="1"/>
  <c r="C226"/>
  <c r="C227"/>
  <c r="C228"/>
  <c r="C229"/>
  <c r="C224"/>
  <c r="C219"/>
  <c r="C220"/>
  <c r="C221"/>
  <c r="E221" s="1"/>
  <c r="C222"/>
  <c r="C223"/>
  <c r="E223" s="1"/>
  <c r="C218"/>
  <c r="E218" s="1"/>
  <c r="C213"/>
  <c r="C214"/>
  <c r="C215"/>
  <c r="C216"/>
  <c r="C217"/>
  <c r="C212"/>
  <c r="C207"/>
  <c r="E207"/>
  <c r="C208"/>
  <c r="C209"/>
  <c r="C210"/>
  <c r="C211"/>
  <c r="E211" s="1"/>
  <c r="C206"/>
  <c r="C201"/>
  <c r="C202"/>
  <c r="C203"/>
  <c r="C204"/>
  <c r="C205"/>
  <c r="C200"/>
  <c r="C195"/>
  <c r="E195" s="1"/>
  <c r="C196"/>
  <c r="E196" s="1"/>
  <c r="C197"/>
  <c r="E197"/>
  <c r="C198"/>
  <c r="E198"/>
  <c r="C199"/>
  <c r="E199"/>
  <c r="C194"/>
  <c r="C189"/>
  <c r="E189" s="1"/>
  <c r="C190"/>
  <c r="C191"/>
  <c r="G191" s="1"/>
  <c r="C192"/>
  <c r="C193"/>
  <c r="C188"/>
  <c r="C183"/>
  <c r="E183" s="1"/>
  <c r="C184"/>
  <c r="C185"/>
  <c r="E185"/>
  <c r="C186"/>
  <c r="C187"/>
  <c r="C182"/>
  <c r="C177"/>
  <c r="C178"/>
  <c r="C179"/>
  <c r="C180"/>
  <c r="C181"/>
  <c r="C176"/>
  <c r="C171"/>
  <c r="G171" s="1"/>
  <c r="C172"/>
  <c r="C173"/>
  <c r="G173" s="1"/>
  <c r="C174"/>
  <c r="E174" s="1"/>
  <c r="C175"/>
  <c r="E175"/>
  <c r="C170"/>
  <c r="C165"/>
  <c r="C166"/>
  <c r="C167"/>
  <c r="C168"/>
  <c r="C169"/>
  <c r="G169" s="1"/>
  <c r="C164"/>
  <c r="C159"/>
  <c r="G159" s="1"/>
  <c r="C160"/>
  <c r="G160" s="1"/>
  <c r="C161"/>
  <c r="G161"/>
  <c r="C162"/>
  <c r="C163"/>
  <c r="G163" s="1"/>
  <c r="C158"/>
  <c r="C153"/>
  <c r="G153" s="1"/>
  <c r="C154"/>
  <c r="C155"/>
  <c r="G155" s="1"/>
  <c r="C156"/>
  <c r="G156" s="1"/>
  <c r="C157"/>
  <c r="G157"/>
  <c r="C152"/>
  <c r="E152"/>
  <c r="C147"/>
  <c r="G147"/>
  <c r="C148"/>
  <c r="C149"/>
  <c r="C150"/>
  <c r="E150"/>
  <c r="C151"/>
  <c r="G151"/>
  <c r="C146"/>
  <c r="C141"/>
  <c r="C142"/>
  <c r="C143"/>
  <c r="G143" s="1"/>
  <c r="C144"/>
  <c r="C145"/>
  <c r="G145" s="1"/>
  <c r="C140"/>
  <c r="G140" s="1"/>
  <c r="C135"/>
  <c r="C136"/>
  <c r="E136" s="1"/>
  <c r="C137"/>
  <c r="C138"/>
  <c r="E138" s="1"/>
  <c r="C139"/>
  <c r="G139"/>
  <c r="C134"/>
  <c r="C129"/>
  <c r="C130"/>
  <c r="C131"/>
  <c r="G131" s="1"/>
  <c r="C132"/>
  <c r="C133"/>
  <c r="C128"/>
  <c r="C123"/>
  <c r="C124"/>
  <c r="C125"/>
  <c r="G125" s="1"/>
  <c r="C126"/>
  <c r="E126" s="1"/>
  <c r="C127"/>
  <c r="G127"/>
  <c r="C122"/>
  <c r="G122"/>
  <c r="C117"/>
  <c r="G117"/>
  <c r="C118"/>
  <c r="C119"/>
  <c r="C120"/>
  <c r="C121"/>
  <c r="C116"/>
  <c r="C111"/>
  <c r="G111" s="1"/>
  <c r="C112"/>
  <c r="E112" s="1"/>
  <c r="C113"/>
  <c r="G113" s="1"/>
  <c r="C114"/>
  <c r="G114" s="1"/>
  <c r="C115"/>
  <c r="G115" s="1"/>
  <c r="C110"/>
  <c r="C105"/>
  <c r="C106"/>
  <c r="C107"/>
  <c r="G107" s="1"/>
  <c r="C108"/>
  <c r="G108" s="1"/>
  <c r="C109"/>
  <c r="G109"/>
  <c r="C104"/>
  <c r="E104"/>
  <c r="C99"/>
  <c r="C100"/>
  <c r="E100" s="1"/>
  <c r="C101"/>
  <c r="G101" s="1"/>
  <c r="C102"/>
  <c r="C103"/>
  <c r="C98"/>
  <c r="C93"/>
  <c r="G93" s="1"/>
  <c r="C94"/>
  <c r="C95"/>
  <c r="C96"/>
  <c r="E96" s="1"/>
  <c r="C97"/>
  <c r="C92"/>
  <c r="E92" s="1"/>
  <c r="C87"/>
  <c r="E87" s="1"/>
  <c r="C88"/>
  <c r="C89"/>
  <c r="E89" s="1"/>
  <c r="C90"/>
  <c r="E90"/>
  <c r="C91"/>
  <c r="C86"/>
  <c r="C81"/>
  <c r="C82"/>
  <c r="E82"/>
  <c r="C83"/>
  <c r="C84"/>
  <c r="C85"/>
  <c r="C80"/>
  <c r="C75"/>
  <c r="C76"/>
  <c r="C77"/>
  <c r="C78"/>
  <c r="C79"/>
  <c r="C74"/>
  <c r="C69"/>
  <c r="C70"/>
  <c r="G70" s="1"/>
  <c r="C71"/>
  <c r="C72"/>
  <c r="C73"/>
  <c r="C68"/>
  <c r="G68" s="1"/>
  <c r="C63"/>
  <c r="G63"/>
  <c r="E63" s="1"/>
  <c r="C64"/>
  <c r="C65"/>
  <c r="C66"/>
  <c r="C67"/>
  <c r="C62"/>
  <c r="C57"/>
  <c r="C58"/>
  <c r="C59"/>
  <c r="C60"/>
  <c r="G60" s="1"/>
  <c r="C61"/>
  <c r="C56"/>
  <c r="G56" s="1"/>
  <c r="C51"/>
  <c r="C52"/>
  <c r="C53"/>
  <c r="C54"/>
  <c r="G54"/>
  <c r="E54" s="1"/>
  <c r="C55"/>
  <c r="C50"/>
  <c r="C45"/>
  <c r="G45" s="1"/>
  <c r="C46"/>
  <c r="C47"/>
  <c r="G47"/>
  <c r="C48"/>
  <c r="C49"/>
  <c r="C44"/>
  <c r="G44" s="1"/>
  <c r="C39"/>
  <c r="G39"/>
  <c r="C40"/>
  <c r="G40"/>
  <c r="E40" s="1"/>
  <c r="C41"/>
  <c r="G41" s="1"/>
  <c r="E41"/>
  <c r="C42"/>
  <c r="C43"/>
  <c r="G43" s="1"/>
  <c r="C38"/>
  <c r="C33"/>
  <c r="C34"/>
  <c r="C35"/>
  <c r="G35" s="1"/>
  <c r="E35" s="1"/>
  <c r="C36"/>
  <c r="C37"/>
  <c r="G37" s="1"/>
  <c r="E37"/>
  <c r="C32"/>
  <c r="C27"/>
  <c r="C28"/>
  <c r="G28"/>
  <c r="C29"/>
  <c r="C30"/>
  <c r="G30" s="1"/>
  <c r="C31"/>
  <c r="C26"/>
  <c r="G26" s="1"/>
  <c r="E26" s="1"/>
  <c r="C21"/>
  <c r="C22"/>
  <c r="C23"/>
  <c r="C24"/>
  <c r="C25"/>
  <c r="C20"/>
  <c r="C15"/>
  <c r="C16"/>
  <c r="G16"/>
  <c r="C17"/>
  <c r="C18"/>
  <c r="C19"/>
  <c r="C14"/>
  <c r="C9"/>
  <c r="C10"/>
  <c r="E10" s="1"/>
  <c r="C11"/>
  <c r="C12"/>
  <c r="C13"/>
  <c r="C8"/>
  <c r="E8" s="1"/>
  <c r="C3"/>
  <c r="C4"/>
  <c r="C5"/>
  <c r="C6"/>
  <c r="C7"/>
  <c r="C2"/>
  <c r="G2"/>
  <c r="C237" i="6"/>
  <c r="E237"/>
  <c r="C238"/>
  <c r="C239"/>
  <c r="C240"/>
  <c r="C241"/>
  <c r="C236"/>
  <c r="C231"/>
  <c r="C232"/>
  <c r="C233"/>
  <c r="C234"/>
  <c r="E234"/>
  <c r="C235"/>
  <c r="C230"/>
  <c r="C225"/>
  <c r="E225"/>
  <c r="C226"/>
  <c r="C227"/>
  <c r="C228"/>
  <c r="C229"/>
  <c r="C224"/>
  <c r="C219"/>
  <c r="C220"/>
  <c r="C221"/>
  <c r="C222"/>
  <c r="E222"/>
  <c r="C223"/>
  <c r="C218"/>
  <c r="E218" s="1"/>
  <c r="C213"/>
  <c r="E213" s="1"/>
  <c r="C214"/>
  <c r="C215"/>
  <c r="C216"/>
  <c r="C217"/>
  <c r="C212"/>
  <c r="C207"/>
  <c r="C208"/>
  <c r="C209"/>
  <c r="C210"/>
  <c r="E210" s="1"/>
  <c r="C211"/>
  <c r="C206"/>
  <c r="C201"/>
  <c r="E201" s="1"/>
  <c r="C202"/>
  <c r="C203"/>
  <c r="C204"/>
  <c r="C205"/>
  <c r="C200"/>
  <c r="C195"/>
  <c r="C196"/>
  <c r="C197"/>
  <c r="C198"/>
  <c r="E198" s="1"/>
  <c r="C199"/>
  <c r="C194"/>
  <c r="E194" s="1"/>
  <c r="C189"/>
  <c r="E189"/>
  <c r="C190"/>
  <c r="C191"/>
  <c r="C192"/>
  <c r="C193"/>
  <c r="C188"/>
  <c r="C183"/>
  <c r="C184"/>
  <c r="C185"/>
  <c r="C186"/>
  <c r="E186"/>
  <c r="C187"/>
  <c r="C182"/>
  <c r="E182" s="1"/>
  <c r="C177"/>
  <c r="E177" s="1"/>
  <c r="C178"/>
  <c r="E178" s="1"/>
  <c r="C179"/>
  <c r="C180"/>
  <c r="E180" s="1"/>
  <c r="C181"/>
  <c r="C176"/>
  <c r="E176" s="1"/>
  <c r="C171"/>
  <c r="C172"/>
  <c r="E172" s="1"/>
  <c r="C173"/>
  <c r="C174"/>
  <c r="E174" s="1"/>
  <c r="C175"/>
  <c r="C170"/>
  <c r="E170" s="1"/>
  <c r="C165"/>
  <c r="E165" s="1"/>
  <c r="C166"/>
  <c r="C167"/>
  <c r="C168"/>
  <c r="C169"/>
  <c r="C164"/>
  <c r="C159"/>
  <c r="C160"/>
  <c r="C161"/>
  <c r="C162"/>
  <c r="E162"/>
  <c r="C163"/>
  <c r="C158"/>
  <c r="E158" s="1"/>
  <c r="C153"/>
  <c r="E153" s="1"/>
  <c r="C154"/>
  <c r="C155"/>
  <c r="C156"/>
  <c r="C157"/>
  <c r="C152"/>
  <c r="C147"/>
  <c r="C148"/>
  <c r="C149"/>
  <c r="C150"/>
  <c r="E150" s="1"/>
  <c r="C151"/>
  <c r="E151" s="1"/>
  <c r="C146"/>
  <c r="E146"/>
  <c r="C141"/>
  <c r="E141"/>
  <c r="C142"/>
  <c r="C143"/>
  <c r="E143" s="1"/>
  <c r="C144"/>
  <c r="C145"/>
  <c r="E145" s="1"/>
  <c r="C140"/>
  <c r="C135"/>
  <c r="E135" s="1"/>
  <c r="C136"/>
  <c r="C137"/>
  <c r="E137" s="1"/>
  <c r="C138"/>
  <c r="C139"/>
  <c r="E139" s="1"/>
  <c r="C134"/>
  <c r="E134"/>
  <c r="C129"/>
  <c r="E129"/>
  <c r="C130"/>
  <c r="C131"/>
  <c r="E131" s="1"/>
  <c r="C132"/>
  <c r="C133"/>
  <c r="E133" s="1"/>
  <c r="C128"/>
  <c r="C123"/>
  <c r="E123" s="1"/>
  <c r="C124"/>
  <c r="C125"/>
  <c r="E125" s="1"/>
  <c r="C126"/>
  <c r="E126"/>
  <c r="C127"/>
  <c r="C122"/>
  <c r="E122" s="1"/>
  <c r="C117"/>
  <c r="E117" s="1"/>
  <c r="C118"/>
  <c r="E118" s="1"/>
  <c r="C119"/>
  <c r="C120"/>
  <c r="E120" s="1"/>
  <c r="C121"/>
  <c r="C116"/>
  <c r="E116" s="1"/>
  <c r="C111"/>
  <c r="C112"/>
  <c r="E112" s="1"/>
  <c r="C113"/>
  <c r="C114"/>
  <c r="E114" s="1"/>
  <c r="C115"/>
  <c r="C110"/>
  <c r="E110" s="1"/>
  <c r="C105"/>
  <c r="E105" s="1"/>
  <c r="C106"/>
  <c r="E106" s="1"/>
  <c r="C107"/>
  <c r="C108"/>
  <c r="E108" s="1"/>
  <c r="C109"/>
  <c r="C104"/>
  <c r="E104" s="1"/>
  <c r="C99"/>
  <c r="C100"/>
  <c r="E100" s="1"/>
  <c r="C101"/>
  <c r="C102"/>
  <c r="E102" s="1"/>
  <c r="C103"/>
  <c r="C98"/>
  <c r="E98" s="1"/>
  <c r="C93"/>
  <c r="E93" s="1"/>
  <c r="C94"/>
  <c r="C95"/>
  <c r="C96"/>
  <c r="C97"/>
  <c r="C92"/>
  <c r="C87"/>
  <c r="C88"/>
  <c r="C89"/>
  <c r="C90"/>
  <c r="E90" s="1"/>
  <c r="C91"/>
  <c r="C86"/>
  <c r="C81"/>
  <c r="E81" s="1"/>
  <c r="C82"/>
  <c r="C83"/>
  <c r="C84"/>
  <c r="C85"/>
  <c r="C80"/>
  <c r="C75"/>
  <c r="C76"/>
  <c r="C77"/>
  <c r="C78"/>
  <c r="E78" s="1"/>
  <c r="C79"/>
  <c r="C74"/>
  <c r="E74" s="1"/>
  <c r="C69"/>
  <c r="E69" s="1"/>
  <c r="C70"/>
  <c r="C71"/>
  <c r="C72"/>
  <c r="C73"/>
  <c r="C68"/>
  <c r="E68" s="1"/>
  <c r="C63"/>
  <c r="E63" s="1"/>
  <c r="C64"/>
  <c r="C65"/>
  <c r="E65" s="1"/>
  <c r="C66"/>
  <c r="E66"/>
  <c r="C67"/>
  <c r="C62"/>
  <c r="E62" s="1"/>
  <c r="C57"/>
  <c r="E57" s="1"/>
  <c r="C58"/>
  <c r="E58" s="1"/>
  <c r="C59"/>
  <c r="C60"/>
  <c r="E60" s="1"/>
  <c r="C61"/>
  <c r="C56"/>
  <c r="E56" s="1"/>
  <c r="C51"/>
  <c r="E51"/>
  <c r="C52"/>
  <c r="C53"/>
  <c r="E53" s="1"/>
  <c r="C54"/>
  <c r="C55"/>
  <c r="E55" s="1"/>
  <c r="C50"/>
  <c r="C45"/>
  <c r="C46"/>
  <c r="C47"/>
  <c r="C48"/>
  <c r="C49"/>
  <c r="C44"/>
  <c r="C39"/>
  <c r="C40"/>
  <c r="C41"/>
  <c r="E41" s="1"/>
  <c r="C42"/>
  <c r="E42" s="1"/>
  <c r="C43"/>
  <c r="C38"/>
  <c r="C33"/>
  <c r="C34"/>
  <c r="C35"/>
  <c r="C36"/>
  <c r="C37"/>
  <c r="C32"/>
  <c r="C27"/>
  <c r="C28"/>
  <c r="C29"/>
  <c r="C30"/>
  <c r="E30"/>
  <c r="C31"/>
  <c r="E31"/>
  <c r="C26"/>
  <c r="C21"/>
  <c r="C22"/>
  <c r="C23"/>
  <c r="C24"/>
  <c r="C25"/>
  <c r="E25" s="1"/>
  <c r="C20"/>
  <c r="E20" s="1"/>
  <c r="C15"/>
  <c r="C16"/>
  <c r="E16" s="1"/>
  <c r="C17"/>
  <c r="C18"/>
  <c r="E18" s="1"/>
  <c r="C19"/>
  <c r="E19" s="1"/>
  <c r="C14"/>
  <c r="E14" s="1"/>
  <c r="C9"/>
  <c r="C10"/>
  <c r="E10" s="1"/>
  <c r="C11"/>
  <c r="C12"/>
  <c r="E12" s="1"/>
  <c r="C13"/>
  <c r="C8"/>
  <c r="E8" s="1"/>
  <c r="C3"/>
  <c r="C4"/>
  <c r="E4" s="1"/>
  <c r="C5"/>
  <c r="E5"/>
  <c r="C6"/>
  <c r="E6"/>
  <c r="C7"/>
  <c r="E7"/>
  <c r="C2"/>
  <c r="C237" i="7"/>
  <c r="E237" s="1"/>
  <c r="C238"/>
  <c r="C239"/>
  <c r="E239" s="1"/>
  <c r="C240"/>
  <c r="C241"/>
  <c r="E241" s="1"/>
  <c r="C236"/>
  <c r="C231"/>
  <c r="E231" s="1"/>
  <c r="C232"/>
  <c r="C233"/>
  <c r="E233" s="1"/>
  <c r="C234"/>
  <c r="E234" s="1"/>
  <c r="C235"/>
  <c r="E235" s="1"/>
  <c r="C230"/>
  <c r="C225"/>
  <c r="C226"/>
  <c r="C227"/>
  <c r="C228"/>
  <c r="C229"/>
  <c r="C224"/>
  <c r="C219"/>
  <c r="C220"/>
  <c r="C221"/>
  <c r="E221" s="1"/>
  <c r="C222"/>
  <c r="E222" s="1"/>
  <c r="C223"/>
  <c r="E223" s="1"/>
  <c r="C218"/>
  <c r="C213"/>
  <c r="C214"/>
  <c r="C215"/>
  <c r="C216"/>
  <c r="C217"/>
  <c r="C212"/>
  <c r="C207"/>
  <c r="C208"/>
  <c r="C209"/>
  <c r="E209" s="1"/>
  <c r="C210"/>
  <c r="E210" s="1"/>
  <c r="C211"/>
  <c r="E211" s="1"/>
  <c r="C206"/>
  <c r="E206" s="1"/>
  <c r="C201"/>
  <c r="C202"/>
  <c r="E202" s="1"/>
  <c r="C203"/>
  <c r="C204"/>
  <c r="E204" s="1"/>
  <c r="C205"/>
  <c r="C200"/>
  <c r="E200" s="1"/>
  <c r="C195"/>
  <c r="C196"/>
  <c r="E196" s="1"/>
  <c r="C197"/>
  <c r="E197"/>
  <c r="C198"/>
  <c r="E198"/>
  <c r="C199"/>
  <c r="E199"/>
  <c r="C194"/>
  <c r="C189"/>
  <c r="E189" s="1"/>
  <c r="C190"/>
  <c r="C191"/>
  <c r="E191" s="1"/>
  <c r="C192"/>
  <c r="C193"/>
  <c r="E193" s="1"/>
  <c r="C188"/>
  <c r="C183"/>
  <c r="C184"/>
  <c r="C185"/>
  <c r="E185" s="1"/>
  <c r="C186"/>
  <c r="E186" s="1"/>
  <c r="C187"/>
  <c r="E187" s="1"/>
  <c r="C182"/>
  <c r="E182" s="1"/>
  <c r="C177"/>
  <c r="C178"/>
  <c r="E178" s="1"/>
  <c r="C179"/>
  <c r="C180"/>
  <c r="E180" s="1"/>
  <c r="C181"/>
  <c r="C176"/>
  <c r="E176" s="1"/>
  <c r="C171"/>
  <c r="C172"/>
  <c r="C173"/>
  <c r="E173"/>
  <c r="C174"/>
  <c r="E174"/>
  <c r="C175"/>
  <c r="E175"/>
  <c r="C170"/>
  <c r="C165"/>
  <c r="E165" s="1"/>
  <c r="C166"/>
  <c r="C167"/>
  <c r="E167" s="1"/>
  <c r="C168"/>
  <c r="C169"/>
  <c r="E169" s="1"/>
  <c r="C164"/>
  <c r="C159"/>
  <c r="C160"/>
  <c r="C161"/>
  <c r="E161" s="1"/>
  <c r="C162"/>
  <c r="E162" s="1"/>
  <c r="C163"/>
  <c r="E163" s="1"/>
  <c r="C158"/>
  <c r="E158" s="1"/>
  <c r="C153"/>
  <c r="C154"/>
  <c r="E154" s="1"/>
  <c r="C155"/>
  <c r="C156"/>
  <c r="E156" s="1"/>
  <c r="C157"/>
  <c r="C152"/>
  <c r="E152" s="1"/>
  <c r="C147"/>
  <c r="C148"/>
  <c r="E148" s="1"/>
  <c r="C149"/>
  <c r="E149"/>
  <c r="C150"/>
  <c r="E150"/>
  <c r="C151"/>
  <c r="C146"/>
  <c r="E146" s="1"/>
  <c r="C141"/>
  <c r="C142"/>
  <c r="E142" s="1"/>
  <c r="C143"/>
  <c r="C144"/>
  <c r="E144" s="1"/>
  <c r="C145"/>
  <c r="C140"/>
  <c r="E140" s="1"/>
  <c r="C135"/>
  <c r="C136"/>
  <c r="E136" s="1"/>
  <c r="C137"/>
  <c r="C138"/>
  <c r="E138" s="1"/>
  <c r="C139"/>
  <c r="E139" s="1"/>
  <c r="C134"/>
  <c r="E134" s="1"/>
  <c r="C129"/>
  <c r="C130"/>
  <c r="E130" s="1"/>
  <c r="C131"/>
  <c r="C132"/>
  <c r="E132" s="1"/>
  <c r="C133"/>
  <c r="C128"/>
  <c r="E128" s="1"/>
  <c r="C123"/>
  <c r="C124"/>
  <c r="E124" s="1"/>
  <c r="C125"/>
  <c r="E125"/>
  <c r="C126"/>
  <c r="E126"/>
  <c r="C127"/>
  <c r="C122"/>
  <c r="E122" s="1"/>
  <c r="C117"/>
  <c r="C118"/>
  <c r="E118" s="1"/>
  <c r="C119"/>
  <c r="C120"/>
  <c r="E120" s="1"/>
  <c r="C121"/>
  <c r="C116"/>
  <c r="E116" s="1"/>
  <c r="C111"/>
  <c r="C112"/>
  <c r="E112" s="1"/>
  <c r="C113"/>
  <c r="C114"/>
  <c r="E114" s="1"/>
  <c r="C115"/>
  <c r="E115" s="1"/>
  <c r="C110"/>
  <c r="E110" s="1"/>
  <c r="C105"/>
  <c r="C106"/>
  <c r="E106" s="1"/>
  <c r="C107"/>
  <c r="C108"/>
  <c r="E108" s="1"/>
  <c r="C109"/>
  <c r="C104"/>
  <c r="E104" s="1"/>
  <c r="C99"/>
  <c r="C100"/>
  <c r="E100" s="1"/>
  <c r="C101"/>
  <c r="E101"/>
  <c r="C102"/>
  <c r="E102"/>
  <c r="C103"/>
  <c r="E103"/>
  <c r="C98"/>
  <c r="C93"/>
  <c r="E93" s="1"/>
  <c r="C94"/>
  <c r="C95"/>
  <c r="E95" s="1"/>
  <c r="C96"/>
  <c r="C97"/>
  <c r="E97" s="1"/>
  <c r="C92"/>
  <c r="C87"/>
  <c r="E87" s="1"/>
  <c r="C88"/>
  <c r="C89"/>
  <c r="E89" s="1"/>
  <c r="C90"/>
  <c r="E90" s="1"/>
  <c r="C91"/>
  <c r="E91" s="1"/>
  <c r="C86"/>
  <c r="E86" s="1"/>
  <c r="C81"/>
  <c r="C82"/>
  <c r="E82" s="1"/>
  <c r="C83"/>
  <c r="C84"/>
  <c r="E84" s="1"/>
  <c r="C85"/>
  <c r="C80"/>
  <c r="E80" s="1"/>
  <c r="C75"/>
  <c r="C76"/>
  <c r="C77"/>
  <c r="E77" s="1"/>
  <c r="C78"/>
  <c r="E78" s="1"/>
  <c r="C79"/>
  <c r="E79" s="1"/>
  <c r="C74"/>
  <c r="C69"/>
  <c r="E69" s="1"/>
  <c r="C70"/>
  <c r="C71"/>
  <c r="E71" s="1"/>
  <c r="C72"/>
  <c r="C73"/>
  <c r="E73" s="1"/>
  <c r="C68"/>
  <c r="C63"/>
  <c r="C64"/>
  <c r="C65"/>
  <c r="E65" s="1"/>
  <c r="C66"/>
  <c r="E66" s="1"/>
  <c r="C67"/>
  <c r="E67" s="1"/>
  <c r="C62"/>
  <c r="E62" s="1"/>
  <c r="C57"/>
  <c r="C58"/>
  <c r="E58" s="1"/>
  <c r="C59"/>
  <c r="C60"/>
  <c r="E60" s="1"/>
  <c r="C61"/>
  <c r="C56"/>
  <c r="E56" s="1"/>
  <c r="C51"/>
  <c r="C52"/>
  <c r="E52" s="1"/>
  <c r="C53"/>
  <c r="E53"/>
  <c r="C54"/>
  <c r="E54"/>
  <c r="C55"/>
  <c r="E55"/>
  <c r="C50"/>
  <c r="C45"/>
  <c r="E45" s="1"/>
  <c r="C46"/>
  <c r="C47"/>
  <c r="E47" s="1"/>
  <c r="C48"/>
  <c r="C49"/>
  <c r="E49" s="1"/>
  <c r="C44"/>
  <c r="C39"/>
  <c r="C40"/>
  <c r="C41"/>
  <c r="E41" s="1"/>
  <c r="C42"/>
  <c r="E42" s="1"/>
  <c r="C43"/>
  <c r="E43" s="1"/>
  <c r="C38"/>
  <c r="E38" s="1"/>
  <c r="C33"/>
  <c r="C34"/>
  <c r="E34" s="1"/>
  <c r="C35"/>
  <c r="C36"/>
  <c r="E36" s="1"/>
  <c r="C37"/>
  <c r="C32"/>
  <c r="E32" s="1"/>
  <c r="C27"/>
  <c r="C28"/>
  <c r="C29"/>
  <c r="E29" s="1"/>
  <c r="C30"/>
  <c r="E30" s="1"/>
  <c r="C31"/>
  <c r="E31" s="1"/>
  <c r="C26"/>
  <c r="C21"/>
  <c r="E21" s="1"/>
  <c r="C22"/>
  <c r="C23"/>
  <c r="E23" s="1"/>
  <c r="C24"/>
  <c r="C25"/>
  <c r="E25" s="1"/>
  <c r="C20"/>
  <c r="C15"/>
  <c r="C16"/>
  <c r="C17"/>
  <c r="E17" s="1"/>
  <c r="C18"/>
  <c r="E18" s="1"/>
  <c r="C19"/>
  <c r="E19" s="1"/>
  <c r="C14"/>
  <c r="E14" s="1"/>
  <c r="C9"/>
  <c r="C10"/>
  <c r="E10" s="1"/>
  <c r="C11"/>
  <c r="C12"/>
  <c r="E12" s="1"/>
  <c r="C13"/>
  <c r="C8"/>
  <c r="E8" s="1"/>
  <c r="C3"/>
  <c r="C4"/>
  <c r="E4" s="1"/>
  <c r="C5"/>
  <c r="E5"/>
  <c r="C6"/>
  <c r="E6"/>
  <c r="C7"/>
  <c r="C2"/>
  <c r="E2" s="1"/>
  <c r="G5" i="8"/>
  <c r="E5" s="1"/>
  <c r="G7"/>
  <c r="E7" s="1"/>
  <c r="G8"/>
  <c r="G10"/>
  <c r="G12"/>
  <c r="E12" s="1"/>
  <c r="G15"/>
  <c r="E15"/>
  <c r="G18"/>
  <c r="G20"/>
  <c r="E20" s="1"/>
  <c r="G22"/>
  <c r="E22"/>
  <c r="G23"/>
  <c r="E23"/>
  <c r="G24"/>
  <c r="E24"/>
  <c r="E30"/>
  <c r="G32"/>
  <c r="E32" s="1"/>
  <c r="G34"/>
  <c r="G36"/>
  <c r="E36" s="1"/>
  <c r="G38"/>
  <c r="E38" s="1"/>
  <c r="E39"/>
  <c r="E44"/>
  <c r="E45"/>
  <c r="E47"/>
  <c r="G48"/>
  <c r="E48" s="1"/>
  <c r="G50"/>
  <c r="E50" s="1"/>
  <c r="G52"/>
  <c r="E52" s="1"/>
  <c r="G53"/>
  <c r="E53" s="1"/>
  <c r="G55"/>
  <c r="G57"/>
  <c r="E57" s="1"/>
  <c r="G58"/>
  <c r="G59"/>
  <c r="E59"/>
  <c r="G62"/>
  <c r="G64"/>
  <c r="G65"/>
  <c r="E65" s="1"/>
  <c r="G66"/>
  <c r="G69"/>
  <c r="E69"/>
  <c r="G74"/>
  <c r="G76"/>
  <c r="G77"/>
  <c r="E77" s="1"/>
  <c r="G78"/>
  <c r="G79"/>
  <c r="E79"/>
  <c r="G81"/>
  <c r="E81"/>
  <c r="G83"/>
  <c r="E83"/>
  <c r="G85"/>
  <c r="E85"/>
  <c r="G87"/>
  <c r="G89"/>
  <c r="G90"/>
  <c r="G92"/>
  <c r="E93"/>
  <c r="G96"/>
  <c r="G97"/>
  <c r="E97"/>
  <c r="G100"/>
  <c r="E101"/>
  <c r="E107"/>
  <c r="E108"/>
  <c r="E109"/>
  <c r="E111"/>
  <c r="G112"/>
  <c r="E113"/>
  <c r="E115"/>
  <c r="G116"/>
  <c r="E116"/>
  <c r="E117"/>
  <c r="G118"/>
  <c r="E118"/>
  <c r="E122"/>
  <c r="E125"/>
  <c r="G126"/>
  <c r="E127"/>
  <c r="G128"/>
  <c r="E128"/>
  <c r="G130"/>
  <c r="E130"/>
  <c r="G132"/>
  <c r="E132"/>
  <c r="G136"/>
  <c r="G138"/>
  <c r="E139"/>
  <c r="E140"/>
  <c r="G142"/>
  <c r="E142"/>
  <c r="E143"/>
  <c r="E145"/>
  <c r="G146"/>
  <c r="E146"/>
  <c r="E147"/>
  <c r="E151"/>
  <c r="G152"/>
  <c r="E153"/>
  <c r="G154"/>
  <c r="E154"/>
  <c r="E155"/>
  <c r="E156"/>
  <c r="E157"/>
  <c r="E159"/>
  <c r="E160"/>
  <c r="E161"/>
  <c r="E163"/>
  <c r="G164"/>
  <c r="E164"/>
  <c r="G166"/>
  <c r="E166"/>
  <c r="E169"/>
  <c r="G170"/>
  <c r="E170"/>
  <c r="E171"/>
  <c r="G174"/>
  <c r="G176"/>
  <c r="E176"/>
  <c r="E177"/>
  <c r="E179"/>
  <c r="E180"/>
  <c r="E181"/>
  <c r="E184"/>
  <c r="G188"/>
  <c r="E188"/>
  <c r="E190"/>
  <c r="E191"/>
  <c r="E192"/>
  <c r="E193"/>
  <c r="G200"/>
  <c r="E200"/>
  <c r="E202"/>
  <c r="E204"/>
  <c r="E205"/>
  <c r="G206"/>
  <c r="E206"/>
  <c r="E208"/>
  <c r="E210"/>
  <c r="E213"/>
  <c r="E215"/>
  <c r="E217"/>
  <c r="G218"/>
  <c r="E222"/>
  <c r="G224"/>
  <c r="E224"/>
  <c r="E226"/>
  <c r="E228"/>
  <c r="E232"/>
  <c r="E234"/>
  <c r="G237"/>
  <c r="G238"/>
  <c r="E238"/>
  <c r="E239"/>
  <c r="E241"/>
  <c r="B241"/>
  <c r="F239"/>
  <c r="B239"/>
  <c r="F238"/>
  <c r="B238"/>
  <c r="F237"/>
  <c r="B237"/>
  <c r="F236"/>
  <c r="B236"/>
  <c r="G235"/>
  <c r="B235"/>
  <c r="G234"/>
  <c r="G233"/>
  <c r="B232"/>
  <c r="G231"/>
  <c r="B231"/>
  <c r="F229"/>
  <c r="B229"/>
  <c r="G228"/>
  <c r="F228"/>
  <c r="F227"/>
  <c r="B227"/>
  <c r="G226"/>
  <c r="F226"/>
  <c r="G225"/>
  <c r="F225"/>
  <c r="B225"/>
  <c r="F224"/>
  <c r="G223"/>
  <c r="B223"/>
  <c r="G222"/>
  <c r="G221"/>
  <c r="B221"/>
  <c r="B220"/>
  <c r="B219"/>
  <c r="B218"/>
  <c r="G217"/>
  <c r="G215"/>
  <c r="B215"/>
  <c r="B214"/>
  <c r="G213"/>
  <c r="F213"/>
  <c r="B213"/>
  <c r="F212"/>
  <c r="B212"/>
  <c r="G211"/>
  <c r="F211"/>
  <c r="B211"/>
  <c r="G210"/>
  <c r="F210"/>
  <c r="F209"/>
  <c r="B209"/>
  <c r="G208"/>
  <c r="F208"/>
  <c r="G207"/>
  <c r="F207"/>
  <c r="B207"/>
  <c r="F206"/>
  <c r="G205"/>
  <c r="F205"/>
  <c r="B205"/>
  <c r="G204"/>
  <c r="F204"/>
  <c r="F203"/>
  <c r="B203"/>
  <c r="G202"/>
  <c r="F202"/>
  <c r="B202"/>
  <c r="F201"/>
  <c r="B201"/>
  <c r="F200"/>
  <c r="B200"/>
  <c r="G199"/>
  <c r="B199"/>
  <c r="F198"/>
  <c r="G197"/>
  <c r="G196"/>
  <c r="B196"/>
  <c r="G195"/>
  <c r="B194"/>
  <c r="G193"/>
  <c r="F193"/>
  <c r="B193"/>
  <c r="G192"/>
  <c r="F192"/>
  <c r="F191"/>
  <c r="B191"/>
  <c r="G190"/>
  <c r="F190"/>
  <c r="B190"/>
  <c r="F189"/>
  <c r="B189"/>
  <c r="F188"/>
  <c r="B188"/>
  <c r="F187"/>
  <c r="B187"/>
  <c r="F186"/>
  <c r="G185"/>
  <c r="F185"/>
  <c r="B185"/>
  <c r="G184"/>
  <c r="F184"/>
  <c r="G183"/>
  <c r="F183"/>
  <c r="B183"/>
  <c r="F182"/>
  <c r="G181"/>
  <c r="F181"/>
  <c r="B181"/>
  <c r="G180"/>
  <c r="F180"/>
  <c r="G179"/>
  <c r="F179"/>
  <c r="F178"/>
  <c r="B178"/>
  <c r="G177"/>
  <c r="F177"/>
  <c r="F176"/>
  <c r="B176"/>
  <c r="F175"/>
  <c r="F174"/>
  <c r="F173"/>
  <c r="B173"/>
  <c r="F172"/>
  <c r="B172"/>
  <c r="F113"/>
  <c r="F171"/>
  <c r="B171"/>
  <c r="F170"/>
  <c r="F90"/>
  <c r="B90"/>
  <c r="F169"/>
  <c r="B169"/>
  <c r="F145"/>
  <c r="F168"/>
  <c r="F18"/>
  <c r="F167"/>
  <c r="B167"/>
  <c r="F144"/>
  <c r="F166"/>
  <c r="B166"/>
  <c r="B36"/>
  <c r="F165"/>
  <c r="B165"/>
  <c r="F164"/>
  <c r="B164"/>
  <c r="F30"/>
  <c r="B30"/>
  <c r="B163"/>
  <c r="F31"/>
  <c r="F85"/>
  <c r="B85"/>
  <c r="B160"/>
  <c r="F115"/>
  <c r="F94"/>
  <c r="B158"/>
  <c r="F64"/>
  <c r="F157"/>
  <c r="B157"/>
  <c r="F104"/>
  <c r="B104"/>
  <c r="F156"/>
  <c r="F137"/>
  <c r="F155"/>
  <c r="B155"/>
  <c r="B134"/>
  <c r="F154"/>
  <c r="F153"/>
  <c r="B153"/>
  <c r="B112"/>
  <c r="F152"/>
  <c r="F123"/>
  <c r="B123"/>
  <c r="B151"/>
  <c r="F17"/>
  <c r="F88"/>
  <c r="B149"/>
  <c r="F91"/>
  <c r="B91"/>
  <c r="B148"/>
  <c r="F35"/>
  <c r="B147"/>
  <c r="F133"/>
  <c r="B133"/>
  <c r="F108"/>
  <c r="F143"/>
  <c r="F14"/>
  <c r="B14"/>
  <c r="F142"/>
  <c r="B142"/>
  <c r="F48"/>
  <c r="F141"/>
  <c r="F29"/>
  <c r="F140"/>
  <c r="B140"/>
  <c r="B50"/>
  <c r="B6"/>
  <c r="B138"/>
  <c r="B136"/>
  <c r="F135"/>
  <c r="F114"/>
  <c r="B114"/>
  <c r="F125"/>
  <c r="B125"/>
  <c r="F132"/>
  <c r="B132"/>
  <c r="F84"/>
  <c r="B84"/>
  <c r="F131"/>
  <c r="B131"/>
  <c r="B70"/>
  <c r="F130"/>
  <c r="F105"/>
  <c r="B105"/>
  <c r="F129"/>
  <c r="B129"/>
  <c r="B61"/>
  <c r="F128"/>
  <c r="F127"/>
  <c r="B127"/>
  <c r="F126"/>
  <c r="F86"/>
  <c r="F87"/>
  <c r="B87"/>
  <c r="F124"/>
  <c r="F102"/>
  <c r="F122"/>
  <c r="F34"/>
  <c r="B34"/>
  <c r="F121"/>
  <c r="B121"/>
  <c r="F89"/>
  <c r="B89"/>
  <c r="F120"/>
  <c r="F97"/>
  <c r="B97"/>
  <c r="F119"/>
  <c r="B119"/>
  <c r="F43"/>
  <c r="B43"/>
  <c r="F118"/>
  <c r="F117"/>
  <c r="B117"/>
  <c r="F42"/>
  <c r="F116"/>
  <c r="B37"/>
  <c r="B47"/>
  <c r="F110"/>
  <c r="B110"/>
  <c r="F109"/>
  <c r="F107"/>
  <c r="B107"/>
  <c r="F98"/>
  <c r="B98"/>
  <c r="F106"/>
  <c r="B106"/>
  <c r="F24"/>
  <c r="G103"/>
  <c r="E103"/>
  <c r="F103"/>
  <c r="B103"/>
  <c r="F101"/>
  <c r="F100"/>
  <c r="B100"/>
  <c r="F15"/>
  <c r="F99"/>
  <c r="B99"/>
  <c r="B45"/>
  <c r="F96"/>
  <c r="B96"/>
  <c r="B72"/>
  <c r="F95"/>
  <c r="F93"/>
  <c r="B93"/>
  <c r="F92"/>
  <c r="B92"/>
  <c r="F28"/>
  <c r="F77"/>
  <c r="F78"/>
  <c r="B78"/>
  <c r="F83"/>
  <c r="B83"/>
  <c r="F82"/>
  <c r="B82"/>
  <c r="F81"/>
  <c r="B81"/>
  <c r="F16"/>
  <c r="B16"/>
  <c r="F80"/>
  <c r="B80"/>
  <c r="B79"/>
  <c r="B76"/>
  <c r="F74"/>
  <c r="B74"/>
  <c r="B73"/>
  <c r="F71"/>
  <c r="B71"/>
  <c r="F27"/>
  <c r="B27"/>
  <c r="F67"/>
  <c r="B67"/>
  <c r="F66"/>
  <c r="F65"/>
  <c r="B65"/>
  <c r="B58"/>
  <c r="F19"/>
  <c r="B19"/>
  <c r="F63"/>
  <c r="F62"/>
  <c r="B62"/>
  <c r="B10"/>
  <c r="B23"/>
  <c r="F41"/>
  <c r="B41"/>
  <c r="B56"/>
  <c r="F12"/>
  <c r="B12"/>
  <c r="F9"/>
  <c r="B54"/>
  <c r="B5"/>
  <c r="F21"/>
  <c r="B21"/>
  <c r="F32"/>
  <c r="B32"/>
  <c r="F44"/>
  <c r="F26"/>
  <c r="F40"/>
  <c r="F39"/>
  <c r="F38"/>
  <c r="B38"/>
  <c r="B25"/>
  <c r="B13"/>
  <c r="B3"/>
  <c r="C14" i="4"/>
  <c r="G14" s="1"/>
  <c r="C2"/>
  <c r="G2" s="1"/>
  <c r="C3"/>
  <c r="C4"/>
  <c r="G4"/>
  <c r="C5"/>
  <c r="G5"/>
  <c r="C6"/>
  <c r="G6"/>
  <c r="C7"/>
  <c r="C8"/>
  <c r="G8" s="1"/>
  <c r="C9"/>
  <c r="C10"/>
  <c r="G10" s="1"/>
  <c r="E10" s="1"/>
  <c r="C11"/>
  <c r="G11"/>
  <c r="E11" s="1"/>
  <c r="C12"/>
  <c r="G12" s="1"/>
  <c r="E12"/>
  <c r="C13"/>
  <c r="G13"/>
  <c r="C15"/>
  <c r="G15"/>
  <c r="C16"/>
  <c r="C17"/>
  <c r="C18"/>
  <c r="C19"/>
  <c r="C20"/>
  <c r="G20"/>
  <c r="E20" s="1"/>
  <c r="C21"/>
  <c r="G21" s="1"/>
  <c r="E21"/>
  <c r="C22"/>
  <c r="G22"/>
  <c r="E22" s="1"/>
  <c r="C23"/>
  <c r="G23" s="1"/>
  <c r="E23"/>
  <c r="C24"/>
  <c r="C25"/>
  <c r="C26"/>
  <c r="C27"/>
  <c r="C28"/>
  <c r="G28"/>
  <c r="C29"/>
  <c r="G29"/>
  <c r="C30"/>
  <c r="G30"/>
  <c r="C31"/>
  <c r="C32"/>
  <c r="C33"/>
  <c r="C34"/>
  <c r="G34" s="1"/>
  <c r="C35"/>
  <c r="C36"/>
  <c r="G36" s="1"/>
  <c r="C37"/>
  <c r="G37" s="1"/>
  <c r="E37" s="1"/>
  <c r="C38"/>
  <c r="G38"/>
  <c r="E38" s="1"/>
  <c r="C39"/>
  <c r="G39" s="1"/>
  <c r="C40"/>
  <c r="C41"/>
  <c r="G41"/>
  <c r="C42"/>
  <c r="C43"/>
  <c r="C44"/>
  <c r="G44"/>
  <c r="C45"/>
  <c r="C46"/>
  <c r="G46" s="1"/>
  <c r="C47"/>
  <c r="G47" s="1"/>
  <c r="C48"/>
  <c r="G48" s="1"/>
  <c r="C49"/>
  <c r="C50"/>
  <c r="C51"/>
  <c r="G51" s="1"/>
  <c r="C52"/>
  <c r="C53"/>
  <c r="C54"/>
  <c r="C55"/>
  <c r="G55"/>
  <c r="C56"/>
  <c r="G56"/>
  <c r="E56" s="1"/>
  <c r="C57"/>
  <c r="C58"/>
  <c r="C59"/>
  <c r="C60"/>
  <c r="G60" s="1"/>
  <c r="E60" s="1"/>
  <c r="C61"/>
  <c r="C62"/>
  <c r="G62" s="1"/>
  <c r="C63"/>
  <c r="G63" s="1"/>
  <c r="C64"/>
  <c r="C65"/>
  <c r="G65"/>
  <c r="E65" s="1"/>
  <c r="C66"/>
  <c r="G66" s="1"/>
  <c r="C67"/>
  <c r="G67" s="1"/>
  <c r="C68"/>
  <c r="G68" s="1"/>
  <c r="C69"/>
  <c r="C70"/>
  <c r="G70"/>
  <c r="C71"/>
  <c r="G71"/>
  <c r="C72"/>
  <c r="G72"/>
  <c r="E72" s="1"/>
  <c r="C73"/>
  <c r="G73" s="1"/>
  <c r="C74"/>
  <c r="C75"/>
  <c r="C76"/>
  <c r="G76" s="1"/>
  <c r="C77"/>
  <c r="G77" s="1"/>
  <c r="C78"/>
  <c r="G78"/>
  <c r="E78" s="1"/>
  <c r="C79"/>
  <c r="G79"/>
  <c r="C80"/>
  <c r="G80"/>
  <c r="C81"/>
  <c r="G81"/>
  <c r="C82"/>
  <c r="E82"/>
  <c r="G82"/>
  <c r="C83"/>
  <c r="C84"/>
  <c r="G84" s="1"/>
  <c r="C85"/>
  <c r="C86"/>
  <c r="E86"/>
  <c r="C87"/>
  <c r="G87"/>
  <c r="C88"/>
  <c r="G88"/>
  <c r="C89"/>
  <c r="C90"/>
  <c r="E90" s="1"/>
  <c r="C91"/>
  <c r="C92"/>
  <c r="G92" s="1"/>
  <c r="C93"/>
  <c r="E93" s="1"/>
  <c r="C94"/>
  <c r="G94" s="1"/>
  <c r="C95"/>
  <c r="G95" s="1"/>
  <c r="C96"/>
  <c r="G96" s="1"/>
  <c r="C97"/>
  <c r="G97" s="1"/>
  <c r="C98"/>
  <c r="G98" s="1"/>
  <c r="C99"/>
  <c r="E99" s="1"/>
  <c r="G99"/>
  <c r="C100"/>
  <c r="C101"/>
  <c r="G101" s="1"/>
  <c r="C102"/>
  <c r="E102" s="1"/>
  <c r="C103"/>
  <c r="C104"/>
  <c r="E104"/>
  <c r="C105"/>
  <c r="G105"/>
  <c r="C106"/>
  <c r="G106"/>
  <c r="C107"/>
  <c r="G107"/>
  <c r="C108"/>
  <c r="C109"/>
  <c r="E109" s="1"/>
  <c r="C110"/>
  <c r="E110" s="1"/>
  <c r="C111"/>
  <c r="G111" s="1"/>
  <c r="C112"/>
  <c r="C113"/>
  <c r="G113" s="1"/>
  <c r="C114"/>
  <c r="C115"/>
  <c r="G115" s="1"/>
  <c r="C116"/>
  <c r="G116"/>
  <c r="C117"/>
  <c r="E117"/>
  <c r="C118"/>
  <c r="E118"/>
  <c r="C119"/>
  <c r="G119"/>
  <c r="C120"/>
  <c r="E120"/>
  <c r="C121"/>
  <c r="E121"/>
  <c r="C122"/>
  <c r="G122"/>
  <c r="C123"/>
  <c r="G123"/>
  <c r="C124"/>
  <c r="E124"/>
  <c r="G124"/>
  <c r="C125"/>
  <c r="E125" s="1"/>
  <c r="C126"/>
  <c r="E126" s="1"/>
  <c r="C127"/>
  <c r="G127" s="1"/>
  <c r="C128"/>
  <c r="C129"/>
  <c r="G129" s="1"/>
  <c r="C130"/>
  <c r="G130" s="1"/>
  <c r="C131"/>
  <c r="G131" s="1"/>
  <c r="C132"/>
  <c r="C133"/>
  <c r="G133" s="1"/>
  <c r="C134"/>
  <c r="C135"/>
  <c r="G135" s="1"/>
  <c r="C136"/>
  <c r="G136" s="1"/>
  <c r="E136"/>
  <c r="C137"/>
  <c r="E137" s="1"/>
  <c r="C138"/>
  <c r="G138" s="1"/>
  <c r="C139"/>
  <c r="G139" s="1"/>
  <c r="C140"/>
  <c r="C141"/>
  <c r="E141" s="1"/>
  <c r="C142"/>
  <c r="E142" s="1"/>
  <c r="C143"/>
  <c r="G143" s="1"/>
  <c r="C144"/>
  <c r="C145"/>
  <c r="G145" s="1"/>
  <c r="C146"/>
  <c r="C147"/>
  <c r="G147" s="1"/>
  <c r="C148"/>
  <c r="G148" s="1"/>
  <c r="C149"/>
  <c r="C150"/>
  <c r="G150" s="1"/>
  <c r="C151"/>
  <c r="G151" s="1"/>
  <c r="C152"/>
  <c r="C153"/>
  <c r="E153"/>
  <c r="G153"/>
  <c r="C154"/>
  <c r="G154" s="1"/>
  <c r="C155"/>
  <c r="C156"/>
  <c r="G156" s="1"/>
  <c r="E156"/>
  <c r="C157"/>
  <c r="E157"/>
  <c r="C158"/>
  <c r="E158"/>
  <c r="C159"/>
  <c r="G159"/>
  <c r="C160"/>
  <c r="E160"/>
  <c r="C161"/>
  <c r="G161"/>
  <c r="C162"/>
  <c r="G162"/>
  <c r="C163"/>
  <c r="G163"/>
  <c r="C164"/>
  <c r="G164"/>
  <c r="C165"/>
  <c r="G165"/>
  <c r="C166"/>
  <c r="G166"/>
  <c r="C167"/>
  <c r="E167"/>
  <c r="C168"/>
  <c r="G168"/>
  <c r="C169"/>
  <c r="E169"/>
  <c r="C170"/>
  <c r="G170"/>
  <c r="C171"/>
  <c r="G171"/>
  <c r="E171"/>
  <c r="C172"/>
  <c r="E172" s="1"/>
  <c r="C173"/>
  <c r="G173"/>
  <c r="E173"/>
  <c r="C174"/>
  <c r="G174" s="1"/>
  <c r="C175"/>
  <c r="E175" s="1"/>
  <c r="C176"/>
  <c r="E176" s="1"/>
  <c r="C177"/>
  <c r="E177" s="1"/>
  <c r="C178"/>
  <c r="C179"/>
  <c r="G179" s="1"/>
  <c r="E179"/>
  <c r="C180"/>
  <c r="E180"/>
  <c r="C181"/>
  <c r="E181"/>
  <c r="C182"/>
  <c r="E182"/>
  <c r="C183"/>
  <c r="E183"/>
  <c r="C184"/>
  <c r="E184"/>
  <c r="C185"/>
  <c r="E185"/>
  <c r="C186"/>
  <c r="E186"/>
  <c r="C187"/>
  <c r="G187"/>
  <c r="C188"/>
  <c r="C189"/>
  <c r="C190"/>
  <c r="E190" s="1"/>
  <c r="C191"/>
  <c r="C192"/>
  <c r="E192" s="1"/>
  <c r="C193"/>
  <c r="C194"/>
  <c r="G194" s="1"/>
  <c r="C195"/>
  <c r="G195" s="1"/>
  <c r="C196"/>
  <c r="G196" s="1"/>
  <c r="C197"/>
  <c r="C198"/>
  <c r="E198" s="1"/>
  <c r="C199"/>
  <c r="E199" s="1"/>
  <c r="C200"/>
  <c r="E200" s="1"/>
  <c r="C201"/>
  <c r="E201" s="1"/>
  <c r="C202"/>
  <c r="G202" s="1"/>
  <c r="C203"/>
  <c r="C204"/>
  <c r="E204"/>
  <c r="C205"/>
  <c r="E205"/>
  <c r="C206"/>
  <c r="G206"/>
  <c r="E206"/>
  <c r="C207"/>
  <c r="E207" s="1"/>
  <c r="C208"/>
  <c r="C209"/>
  <c r="E209" s="1"/>
  <c r="C210"/>
  <c r="E210" s="1"/>
  <c r="C211"/>
  <c r="G211" s="1"/>
  <c r="C212"/>
  <c r="C213"/>
  <c r="E213" s="1"/>
  <c r="C214"/>
  <c r="E214" s="1"/>
  <c r="C215"/>
  <c r="C216"/>
  <c r="E216" s="1"/>
  <c r="C217"/>
  <c r="E217" s="1"/>
  <c r="C218"/>
  <c r="G218" s="1"/>
  <c r="E218"/>
  <c r="C219"/>
  <c r="E219"/>
  <c r="C220"/>
  <c r="E220"/>
  <c r="C221"/>
  <c r="E221"/>
  <c r="C222"/>
  <c r="G222"/>
  <c r="C223"/>
  <c r="E223"/>
  <c r="C224"/>
  <c r="G224"/>
  <c r="C225"/>
  <c r="E225"/>
  <c r="C226"/>
  <c r="G226"/>
  <c r="C227"/>
  <c r="G227"/>
  <c r="E227"/>
  <c r="C228"/>
  <c r="C229"/>
  <c r="C230"/>
  <c r="E230" s="1"/>
  <c r="C231"/>
  <c r="E231" s="1"/>
  <c r="C232"/>
  <c r="C233"/>
  <c r="E233" s="1"/>
  <c r="C234"/>
  <c r="C235"/>
  <c r="C236"/>
  <c r="G236"/>
  <c r="C237"/>
  <c r="G237"/>
  <c r="C238"/>
  <c r="C239"/>
  <c r="G239" s="1"/>
  <c r="C240"/>
  <c r="E240" s="1"/>
  <c r="C241"/>
  <c r="G241" s="1"/>
  <c r="G175"/>
  <c r="G183"/>
  <c r="G185"/>
  <c r="G207"/>
  <c r="G209"/>
  <c r="G219"/>
  <c r="G220"/>
  <c r="G221"/>
  <c r="G223"/>
  <c r="G231"/>
  <c r="G233"/>
  <c r="C237" i="5"/>
  <c r="E237" s="1"/>
  <c r="C238"/>
  <c r="E238" s="1"/>
  <c r="C239"/>
  <c r="E239"/>
  <c r="C240"/>
  <c r="E240"/>
  <c r="C241"/>
  <c r="C236"/>
  <c r="C231"/>
  <c r="C232"/>
  <c r="C233"/>
  <c r="C234"/>
  <c r="C235"/>
  <c r="C230"/>
  <c r="C225"/>
  <c r="C226"/>
  <c r="E226" s="1"/>
  <c r="C227"/>
  <c r="C228"/>
  <c r="E228" s="1"/>
  <c r="C229"/>
  <c r="E229" s="1"/>
  <c r="C224"/>
  <c r="C219"/>
  <c r="E219" s="1"/>
  <c r="C220"/>
  <c r="C221"/>
  <c r="E221" s="1"/>
  <c r="C222"/>
  <c r="C223"/>
  <c r="E223" s="1"/>
  <c r="C218"/>
  <c r="C213"/>
  <c r="E213" s="1"/>
  <c r="C214"/>
  <c r="C215"/>
  <c r="C216"/>
  <c r="E216" s="1"/>
  <c r="C217"/>
  <c r="E217" s="1"/>
  <c r="C212"/>
  <c r="C207"/>
  <c r="E207" s="1"/>
  <c r="C208"/>
  <c r="C209"/>
  <c r="E209" s="1"/>
  <c r="C210"/>
  <c r="C211"/>
  <c r="E211" s="1"/>
  <c r="C206"/>
  <c r="C201"/>
  <c r="E201" s="1"/>
  <c r="C202"/>
  <c r="C203"/>
  <c r="E203" s="1"/>
  <c r="C204"/>
  <c r="E204" s="1"/>
  <c r="C205"/>
  <c r="E205" s="1"/>
  <c r="C200"/>
  <c r="C195"/>
  <c r="E195" s="1"/>
  <c r="C196"/>
  <c r="C197"/>
  <c r="E197" s="1"/>
  <c r="C198"/>
  <c r="C199"/>
  <c r="E199" s="1"/>
  <c r="C194"/>
  <c r="C189"/>
  <c r="E189" s="1"/>
  <c r="C190"/>
  <c r="C191"/>
  <c r="E191" s="1"/>
  <c r="C192"/>
  <c r="E192" s="1"/>
  <c r="C193"/>
  <c r="E193" s="1"/>
  <c r="C188"/>
  <c r="C183"/>
  <c r="E183" s="1"/>
  <c r="C184"/>
  <c r="C185"/>
  <c r="E185" s="1"/>
  <c r="C186"/>
  <c r="C187"/>
  <c r="E187" s="1"/>
  <c r="C182"/>
  <c r="C177"/>
  <c r="E177" s="1"/>
  <c r="C178"/>
  <c r="E178" s="1"/>
  <c r="C179"/>
  <c r="E179" s="1"/>
  <c r="C180"/>
  <c r="E180" s="1"/>
  <c r="C181"/>
  <c r="C176"/>
  <c r="C171"/>
  <c r="C172"/>
  <c r="C173"/>
  <c r="C174"/>
  <c r="C175"/>
  <c r="C170"/>
  <c r="C165"/>
  <c r="E165" s="1"/>
  <c r="C166"/>
  <c r="C167"/>
  <c r="E167" s="1"/>
  <c r="C168"/>
  <c r="E168" s="1"/>
  <c r="C169"/>
  <c r="E169" s="1"/>
  <c r="C164"/>
  <c r="C159"/>
  <c r="C160"/>
  <c r="C161"/>
  <c r="C162"/>
  <c r="C163"/>
  <c r="C158"/>
  <c r="C153"/>
  <c r="E153" s="1"/>
  <c r="C154"/>
  <c r="E154" s="1"/>
  <c r="C155"/>
  <c r="E155"/>
  <c r="C156"/>
  <c r="E156"/>
  <c r="C157"/>
  <c r="C152"/>
  <c r="C147"/>
  <c r="C148"/>
  <c r="C149"/>
  <c r="C150"/>
  <c r="C151"/>
  <c r="C146"/>
  <c r="C141"/>
  <c r="E141"/>
  <c r="C142"/>
  <c r="C143"/>
  <c r="E143" s="1"/>
  <c r="C144"/>
  <c r="E144" s="1"/>
  <c r="C145"/>
  <c r="E145" s="1"/>
  <c r="C140"/>
  <c r="C135"/>
  <c r="E135" s="1"/>
  <c r="C136"/>
  <c r="C137"/>
  <c r="E137" s="1"/>
  <c r="C138"/>
  <c r="C139"/>
  <c r="E139" s="1"/>
  <c r="C134"/>
  <c r="C129"/>
  <c r="E129" s="1"/>
  <c r="C130"/>
  <c r="E130" s="1"/>
  <c r="C131"/>
  <c r="E131" s="1"/>
  <c r="C132"/>
  <c r="E132" s="1"/>
  <c r="C133"/>
  <c r="C128"/>
  <c r="C123"/>
  <c r="C124"/>
  <c r="C125"/>
  <c r="C126"/>
  <c r="C127"/>
  <c r="C122"/>
  <c r="C117"/>
  <c r="E117"/>
  <c r="C118"/>
  <c r="C119"/>
  <c r="E119" s="1"/>
  <c r="C120"/>
  <c r="E120" s="1"/>
  <c r="C121"/>
  <c r="E121" s="1"/>
  <c r="C116"/>
  <c r="C111"/>
  <c r="C112"/>
  <c r="C113"/>
  <c r="C114"/>
  <c r="C115"/>
  <c r="C110"/>
  <c r="C105"/>
  <c r="E105" s="1"/>
  <c r="C106"/>
  <c r="E106" s="1"/>
  <c r="C107"/>
  <c r="C108"/>
  <c r="E108" s="1"/>
  <c r="C109"/>
  <c r="C104"/>
  <c r="C99"/>
  <c r="C100"/>
  <c r="C101"/>
  <c r="C102"/>
  <c r="C103"/>
  <c r="C98"/>
  <c r="C93"/>
  <c r="E93" s="1"/>
  <c r="C94"/>
  <c r="E94" s="1"/>
  <c r="C95"/>
  <c r="E95"/>
  <c r="C96"/>
  <c r="E96"/>
  <c r="C97"/>
  <c r="C92"/>
  <c r="C87"/>
  <c r="C88"/>
  <c r="C89"/>
  <c r="C90"/>
  <c r="C91"/>
  <c r="C86"/>
  <c r="C81"/>
  <c r="C82"/>
  <c r="E82" s="1"/>
  <c r="C83"/>
  <c r="C84"/>
  <c r="E84" s="1"/>
  <c r="C85"/>
  <c r="E85" s="1"/>
  <c r="C80"/>
  <c r="C75"/>
  <c r="C76"/>
  <c r="C77"/>
  <c r="C78"/>
  <c r="C79"/>
  <c r="C74"/>
  <c r="C69"/>
  <c r="E69" s="1"/>
  <c r="C70"/>
  <c r="E70" s="1"/>
  <c r="C71"/>
  <c r="E71"/>
  <c r="C72"/>
  <c r="E72"/>
  <c r="C73"/>
  <c r="C68"/>
  <c r="E68" s="1"/>
  <c r="C63"/>
  <c r="C64"/>
  <c r="E64" s="1"/>
  <c r="C65"/>
  <c r="C66"/>
  <c r="E66" s="1"/>
  <c r="C67"/>
  <c r="C62"/>
  <c r="E62" s="1"/>
  <c r="C57"/>
  <c r="C58"/>
  <c r="E58" s="1"/>
  <c r="C59"/>
  <c r="E59"/>
  <c r="C60"/>
  <c r="E60"/>
  <c r="C61"/>
  <c r="C56"/>
  <c r="E56" s="1"/>
  <c r="C51"/>
  <c r="C52"/>
  <c r="E52" s="1"/>
  <c r="C53"/>
  <c r="C54"/>
  <c r="E54" s="1"/>
  <c r="C55"/>
  <c r="C50"/>
  <c r="E50" s="1"/>
  <c r="C45"/>
  <c r="E45"/>
  <c r="C46"/>
  <c r="C47"/>
  <c r="E47" s="1"/>
  <c r="C48"/>
  <c r="E48" s="1"/>
  <c r="C49"/>
  <c r="E49" s="1"/>
  <c r="C44"/>
  <c r="C39"/>
  <c r="E39" s="1"/>
  <c r="C40"/>
  <c r="C41"/>
  <c r="E41" s="1"/>
  <c r="C42"/>
  <c r="C43"/>
  <c r="E43" s="1"/>
  <c r="C38"/>
  <c r="C33"/>
  <c r="E33" s="1"/>
  <c r="C34"/>
  <c r="E34" s="1"/>
  <c r="C35"/>
  <c r="E35" s="1"/>
  <c r="C36"/>
  <c r="E36" s="1"/>
  <c r="C37"/>
  <c r="C32"/>
  <c r="C27"/>
  <c r="C28"/>
  <c r="E28" s="1"/>
  <c r="C29"/>
  <c r="E29" s="1"/>
  <c r="C30"/>
  <c r="C31"/>
  <c r="E31" s="1"/>
  <c r="C26"/>
  <c r="C21"/>
  <c r="E21" s="1"/>
  <c r="C22"/>
  <c r="E22" s="1"/>
  <c r="C23"/>
  <c r="E23" s="1"/>
  <c r="C24"/>
  <c r="E24" s="1"/>
  <c r="C25"/>
  <c r="C20"/>
  <c r="C15"/>
  <c r="C16"/>
  <c r="E16" s="1"/>
  <c r="C17"/>
  <c r="C18"/>
  <c r="E18" s="1"/>
  <c r="C19"/>
  <c r="E19" s="1"/>
  <c r="C14"/>
  <c r="E2" i="6"/>
  <c r="E3"/>
  <c r="E9"/>
  <c r="E11"/>
  <c r="E13"/>
  <c r="E15"/>
  <c r="E17"/>
  <c r="E21"/>
  <c r="E22"/>
  <c r="E23"/>
  <c r="E24"/>
  <c r="E26"/>
  <c r="E27"/>
  <c r="E28"/>
  <c r="E29"/>
  <c r="E32"/>
  <c r="E33"/>
  <c r="E34"/>
  <c r="E35"/>
  <c r="E36"/>
  <c r="E37"/>
  <c r="E38"/>
  <c r="E39"/>
  <c r="E40"/>
  <c r="E43"/>
  <c r="E44"/>
  <c r="E45"/>
  <c r="E46"/>
  <c r="E47"/>
  <c r="E48"/>
  <c r="E49"/>
  <c r="E50"/>
  <c r="E52"/>
  <c r="E54"/>
  <c r="E59"/>
  <c r="E61"/>
  <c r="E64"/>
  <c r="E67"/>
  <c r="E70"/>
  <c r="E71"/>
  <c r="E72"/>
  <c r="E73"/>
  <c r="E75"/>
  <c r="E76"/>
  <c r="E77"/>
  <c r="E79"/>
  <c r="E80"/>
  <c r="E82"/>
  <c r="E83"/>
  <c r="E84"/>
  <c r="E85"/>
  <c r="E86"/>
  <c r="E87"/>
  <c r="E88"/>
  <c r="E89"/>
  <c r="E91"/>
  <c r="E92"/>
  <c r="E94"/>
  <c r="E95"/>
  <c r="E96"/>
  <c r="E97"/>
  <c r="E99"/>
  <c r="E101"/>
  <c r="E103"/>
  <c r="E107"/>
  <c r="E109"/>
  <c r="E111"/>
  <c r="E113"/>
  <c r="E115"/>
  <c r="E119"/>
  <c r="E121"/>
  <c r="E124"/>
  <c r="E127"/>
  <c r="E128"/>
  <c r="E130"/>
  <c r="E132"/>
  <c r="E136"/>
  <c r="E138"/>
  <c r="E140"/>
  <c r="E142"/>
  <c r="E144"/>
  <c r="E147"/>
  <c r="E148"/>
  <c r="E149"/>
  <c r="E152"/>
  <c r="E154"/>
  <c r="E155"/>
  <c r="E156"/>
  <c r="E157"/>
  <c r="E159"/>
  <c r="E160"/>
  <c r="E161"/>
  <c r="E163"/>
  <c r="E164"/>
  <c r="E166"/>
  <c r="E167"/>
  <c r="E168"/>
  <c r="E169"/>
  <c r="E171"/>
  <c r="E173"/>
  <c r="E175"/>
  <c r="E179"/>
  <c r="E181"/>
  <c r="E183"/>
  <c r="E184"/>
  <c r="E185"/>
  <c r="E187"/>
  <c r="E188"/>
  <c r="E190"/>
  <c r="E191"/>
  <c r="E192"/>
  <c r="E193"/>
  <c r="E195"/>
  <c r="E196"/>
  <c r="E197"/>
  <c r="E199"/>
  <c r="E200"/>
  <c r="E202"/>
  <c r="E203"/>
  <c r="E204"/>
  <c r="E205"/>
  <c r="E206"/>
  <c r="E207"/>
  <c r="E208"/>
  <c r="E209"/>
  <c r="E211"/>
  <c r="E212"/>
  <c r="E214"/>
  <c r="E215"/>
  <c r="E216"/>
  <c r="E217"/>
  <c r="E219"/>
  <c r="E220"/>
  <c r="E221"/>
  <c r="E223"/>
  <c r="E224"/>
  <c r="E226"/>
  <c r="E227"/>
  <c r="E228"/>
  <c r="E229"/>
  <c r="E230"/>
  <c r="E231"/>
  <c r="E232"/>
  <c r="E233"/>
  <c r="E235"/>
  <c r="E236"/>
  <c r="E238"/>
  <c r="E239"/>
  <c r="E240"/>
  <c r="E241"/>
  <c r="F68"/>
  <c r="B3"/>
  <c r="B4"/>
  <c r="B8"/>
  <c r="B23"/>
  <c r="B241"/>
  <c r="F69"/>
  <c r="F26"/>
  <c r="B5"/>
  <c r="B21"/>
  <c r="F240"/>
  <c r="F10"/>
  <c r="F27"/>
  <c r="B6"/>
  <c r="B10"/>
  <c r="B22"/>
  <c r="B70"/>
  <c r="B27"/>
  <c r="B239"/>
  <c r="F11"/>
  <c r="F28"/>
  <c r="B71"/>
  <c r="F238"/>
  <c r="B238"/>
  <c r="F24"/>
  <c r="F29"/>
  <c r="B12"/>
  <c r="B24"/>
  <c r="B72"/>
  <c r="F237"/>
  <c r="B237"/>
  <c r="F25"/>
  <c r="F30"/>
  <c r="B25"/>
  <c r="B73"/>
  <c r="B30"/>
  <c r="B236"/>
  <c r="F103"/>
  <c r="F14"/>
  <c r="F31"/>
  <c r="B103"/>
  <c r="B14"/>
  <c r="B50"/>
  <c r="B235"/>
  <c r="F110"/>
  <c r="F15"/>
  <c r="F38"/>
  <c r="B110"/>
  <c r="B38"/>
  <c r="F111"/>
  <c r="F16"/>
  <c r="F39"/>
  <c r="B16"/>
  <c r="B52"/>
  <c r="F112"/>
  <c r="F17"/>
  <c r="F40"/>
  <c r="B112"/>
  <c r="B17"/>
  <c r="B232"/>
  <c r="F113"/>
  <c r="F18"/>
  <c r="F41"/>
  <c r="B41"/>
  <c r="B54"/>
  <c r="F114"/>
  <c r="F19"/>
  <c r="F42"/>
  <c r="B114"/>
  <c r="B19"/>
  <c r="F115"/>
  <c r="F43"/>
  <c r="B43"/>
  <c r="B56"/>
  <c r="F229"/>
  <c r="B229"/>
  <c r="F116"/>
  <c r="F44"/>
  <c r="B57"/>
  <c r="F228"/>
  <c r="F117"/>
  <c r="B117"/>
  <c r="B45"/>
  <c r="B58"/>
  <c r="F227"/>
  <c r="B227"/>
  <c r="F118"/>
  <c r="F46"/>
  <c r="B59"/>
  <c r="F226"/>
  <c r="B226"/>
  <c r="F119"/>
  <c r="F47"/>
  <c r="F60"/>
  <c r="B119"/>
  <c r="B47"/>
  <c r="F225"/>
  <c r="B225"/>
  <c r="F120"/>
  <c r="B61"/>
  <c r="F224"/>
  <c r="B224"/>
  <c r="F121"/>
  <c r="F49"/>
  <c r="F62"/>
  <c r="B121"/>
  <c r="B62"/>
  <c r="B223"/>
  <c r="F175"/>
  <c r="F63"/>
  <c r="B63"/>
  <c r="F176"/>
  <c r="F64"/>
  <c r="B176"/>
  <c r="B221"/>
  <c r="F177"/>
  <c r="F65"/>
  <c r="B65"/>
  <c r="B220"/>
  <c r="F80"/>
  <c r="F178"/>
  <c r="F66"/>
  <c r="B178"/>
  <c r="B219"/>
  <c r="F81"/>
  <c r="F179"/>
  <c r="F67"/>
  <c r="B179"/>
  <c r="B67"/>
  <c r="F34"/>
  <c r="F82"/>
  <c r="F32"/>
  <c r="F180"/>
  <c r="B34"/>
  <c r="B32"/>
  <c r="F217"/>
  <c r="F35"/>
  <c r="F83"/>
  <c r="F181"/>
  <c r="B181"/>
  <c r="F36"/>
  <c r="F84"/>
  <c r="F182"/>
  <c r="B36"/>
  <c r="B215"/>
  <c r="F85"/>
  <c r="F183"/>
  <c r="B183"/>
  <c r="F214"/>
  <c r="B214"/>
  <c r="F86"/>
  <c r="F184"/>
  <c r="B213"/>
  <c r="F87"/>
  <c r="F185"/>
  <c r="B185"/>
  <c r="F212"/>
  <c r="B212"/>
  <c r="F88"/>
  <c r="F186"/>
  <c r="F74"/>
  <c r="B74"/>
  <c r="F211"/>
  <c r="B211"/>
  <c r="F89"/>
  <c r="F187"/>
  <c r="F75"/>
  <c r="B187"/>
  <c r="B75"/>
  <c r="F210"/>
  <c r="F90"/>
  <c r="F188"/>
  <c r="F76"/>
  <c r="B188"/>
  <c r="B76"/>
  <c r="F209"/>
  <c r="B209"/>
  <c r="F91"/>
  <c r="F189"/>
  <c r="B189"/>
  <c r="F208"/>
  <c r="F92"/>
  <c r="F190"/>
  <c r="F78"/>
  <c r="B190"/>
  <c r="F207"/>
  <c r="B207"/>
  <c r="F93"/>
  <c r="F191"/>
  <c r="F79"/>
  <c r="B191"/>
  <c r="B79"/>
  <c r="F206"/>
  <c r="F94"/>
  <c r="F192"/>
  <c r="B80"/>
  <c r="F205"/>
  <c r="B205"/>
  <c r="F95"/>
  <c r="F193"/>
  <c r="B193"/>
  <c r="B81"/>
  <c r="F204"/>
  <c r="F96"/>
  <c r="B194"/>
  <c r="B82"/>
  <c r="F203"/>
  <c r="B203"/>
  <c r="F97"/>
  <c r="B83"/>
  <c r="F202"/>
  <c r="B202"/>
  <c r="B196"/>
  <c r="B84"/>
  <c r="F201"/>
  <c r="B201"/>
  <c r="B85"/>
  <c r="F200"/>
  <c r="B200"/>
  <c r="B199"/>
  <c r="B87"/>
  <c r="B89"/>
  <c r="B90"/>
  <c r="B91"/>
  <c r="B92"/>
  <c r="B93"/>
  <c r="B96"/>
  <c r="B97"/>
  <c r="F98"/>
  <c r="B98"/>
  <c r="F99"/>
  <c r="B99"/>
  <c r="F100"/>
  <c r="B100"/>
  <c r="F101"/>
  <c r="B101"/>
  <c r="F102"/>
  <c r="F104"/>
  <c r="B104"/>
  <c r="F105"/>
  <c r="B105"/>
  <c r="F106"/>
  <c r="B106"/>
  <c r="F107"/>
  <c r="B107"/>
  <c r="F108"/>
  <c r="F109"/>
  <c r="F174"/>
  <c r="F173"/>
  <c r="B173"/>
  <c r="F172"/>
  <c r="B172"/>
  <c r="F171"/>
  <c r="B171"/>
  <c r="F170"/>
  <c r="F169"/>
  <c r="B169"/>
  <c r="F168"/>
  <c r="F167"/>
  <c r="B167"/>
  <c r="F166"/>
  <c r="B166"/>
  <c r="F165"/>
  <c r="B165"/>
  <c r="F164"/>
  <c r="B164"/>
  <c r="B163"/>
  <c r="B160"/>
  <c r="F157"/>
  <c r="B157"/>
  <c r="F156"/>
  <c r="F155"/>
  <c r="B155"/>
  <c r="F154"/>
  <c r="F153"/>
  <c r="B153"/>
  <c r="F152"/>
  <c r="B151"/>
  <c r="B149"/>
  <c r="B148"/>
  <c r="B147"/>
  <c r="F145"/>
  <c r="F144"/>
  <c r="F123"/>
  <c r="B123"/>
  <c r="F143"/>
  <c r="F124"/>
  <c r="F142"/>
  <c r="B142"/>
  <c r="F125"/>
  <c r="B125"/>
  <c r="F141"/>
  <c r="F126"/>
  <c r="F140"/>
  <c r="B140"/>
  <c r="F127"/>
  <c r="F122"/>
  <c r="B127"/>
  <c r="F139"/>
  <c r="F129"/>
  <c r="B129"/>
  <c r="F138"/>
  <c r="B138"/>
  <c r="F130"/>
  <c r="F137"/>
  <c r="F131"/>
  <c r="B131"/>
  <c r="B136"/>
  <c r="F132"/>
  <c r="F135"/>
  <c r="F133"/>
  <c r="B133"/>
  <c r="B134"/>
  <c r="F128"/>
  <c r="B128"/>
  <c r="E3" i="7"/>
  <c r="E7"/>
  <c r="E9"/>
  <c r="E11"/>
  <c r="E13"/>
  <c r="E15"/>
  <c r="E16"/>
  <c r="E20"/>
  <c r="E22"/>
  <c r="E24"/>
  <c r="E26"/>
  <c r="E27"/>
  <c r="E28"/>
  <c r="E33"/>
  <c r="E35"/>
  <c r="E37"/>
  <c r="E39"/>
  <c r="E40"/>
  <c r="E44"/>
  <c r="E46"/>
  <c r="E48"/>
  <c r="E50"/>
  <c r="E51"/>
  <c r="E57"/>
  <c r="E59"/>
  <c r="E61"/>
  <c r="E63"/>
  <c r="E64"/>
  <c r="E68"/>
  <c r="E70"/>
  <c r="E72"/>
  <c r="E74"/>
  <c r="E75"/>
  <c r="E76"/>
  <c r="E81"/>
  <c r="E83"/>
  <c r="E85"/>
  <c r="E88"/>
  <c r="E92"/>
  <c r="E94"/>
  <c r="E96"/>
  <c r="E98"/>
  <c r="E99"/>
  <c r="E105"/>
  <c r="E107"/>
  <c r="E109"/>
  <c r="E111"/>
  <c r="E113"/>
  <c r="E117"/>
  <c r="E119"/>
  <c r="E121"/>
  <c r="E123"/>
  <c r="E127"/>
  <c r="E129"/>
  <c r="E131"/>
  <c r="E133"/>
  <c r="E135"/>
  <c r="E137"/>
  <c r="E141"/>
  <c r="E143"/>
  <c r="E145"/>
  <c r="E147"/>
  <c r="E151"/>
  <c r="E153"/>
  <c r="E155"/>
  <c r="E157"/>
  <c r="E159"/>
  <c r="E160"/>
  <c r="E164"/>
  <c r="E166"/>
  <c r="E168"/>
  <c r="E170"/>
  <c r="E171"/>
  <c r="E172"/>
  <c r="E177"/>
  <c r="E179"/>
  <c r="E181"/>
  <c r="E183"/>
  <c r="E184"/>
  <c r="E188"/>
  <c r="E190"/>
  <c r="E192"/>
  <c r="E194"/>
  <c r="E195"/>
  <c r="E201"/>
  <c r="E203"/>
  <c r="E205"/>
  <c r="E207"/>
  <c r="E208"/>
  <c r="E212"/>
  <c r="E213"/>
  <c r="E214"/>
  <c r="E215"/>
  <c r="E216"/>
  <c r="E217"/>
  <c r="E218"/>
  <c r="E219"/>
  <c r="E220"/>
  <c r="E224"/>
  <c r="E225"/>
  <c r="E226"/>
  <c r="E227"/>
  <c r="E228"/>
  <c r="E229"/>
  <c r="E230"/>
  <c r="E232"/>
  <c r="E236"/>
  <c r="E238"/>
  <c r="E240"/>
  <c r="F8"/>
  <c r="B3"/>
  <c r="B4"/>
  <c r="F241"/>
  <c r="B241"/>
  <c r="F9"/>
  <c r="B5"/>
  <c r="F240"/>
  <c r="B6"/>
  <c r="B10"/>
  <c r="F239"/>
  <c r="B239"/>
  <c r="F11"/>
  <c r="B238"/>
  <c r="B12"/>
  <c r="B237"/>
  <c r="B13"/>
  <c r="B236"/>
  <c r="F14"/>
  <c r="B14"/>
  <c r="B235"/>
  <c r="F15"/>
  <c r="F16"/>
  <c r="B16"/>
  <c r="B233"/>
  <c r="F17"/>
  <c r="B17"/>
  <c r="B232"/>
  <c r="F18"/>
  <c r="F19"/>
  <c r="B19"/>
  <c r="B230"/>
  <c r="F229"/>
  <c r="B229"/>
  <c r="F21"/>
  <c r="B21"/>
  <c r="F228"/>
  <c r="F227"/>
  <c r="B227"/>
  <c r="B23"/>
  <c r="F226"/>
  <c r="B226"/>
  <c r="F225"/>
  <c r="B225"/>
  <c r="B25"/>
  <c r="F224"/>
  <c r="B224"/>
  <c r="F27"/>
  <c r="F26"/>
  <c r="B27"/>
  <c r="B26"/>
  <c r="B223"/>
  <c r="F28"/>
  <c r="F29"/>
  <c r="B29"/>
  <c r="B221"/>
  <c r="F30"/>
  <c r="B30"/>
  <c r="B220"/>
  <c r="F31"/>
  <c r="B219"/>
  <c r="F33"/>
  <c r="B218"/>
  <c r="F32"/>
  <c r="B34"/>
  <c r="B32"/>
  <c r="B217"/>
  <c r="F36"/>
  <c r="B36"/>
  <c r="F215"/>
  <c r="B215"/>
  <c r="F37"/>
  <c r="F214"/>
  <c r="B214"/>
  <c r="F39"/>
  <c r="F213"/>
  <c r="B213"/>
  <c r="F40"/>
  <c r="B212"/>
  <c r="F41"/>
  <c r="F44"/>
  <c r="F38"/>
  <c r="B41"/>
  <c r="B38"/>
  <c r="F211"/>
  <c r="B211"/>
  <c r="F42"/>
  <c r="F45"/>
  <c r="B45"/>
  <c r="F210"/>
  <c r="F43"/>
  <c r="B43"/>
  <c r="F209"/>
  <c r="B209"/>
  <c r="F47"/>
  <c r="B47"/>
  <c r="F208"/>
  <c r="F48"/>
  <c r="F207"/>
  <c r="B207"/>
  <c r="F49"/>
  <c r="F206"/>
  <c r="F205"/>
  <c r="B205"/>
  <c r="F204"/>
  <c r="F203"/>
  <c r="B203"/>
  <c r="F52"/>
  <c r="B52"/>
  <c r="F202"/>
  <c r="B202"/>
  <c r="B53"/>
  <c r="F201"/>
  <c r="B201"/>
  <c r="B54"/>
  <c r="F200"/>
  <c r="B200"/>
  <c r="B55"/>
  <c r="B50"/>
  <c r="B199"/>
  <c r="B58"/>
  <c r="B59"/>
  <c r="F196"/>
  <c r="B196"/>
  <c r="F63"/>
  <c r="B56"/>
  <c r="F193"/>
  <c r="B193"/>
  <c r="F64"/>
  <c r="F192"/>
  <c r="F65"/>
  <c r="B65"/>
  <c r="F191"/>
  <c r="B191"/>
  <c r="F66"/>
  <c r="B66"/>
  <c r="F190"/>
  <c r="B190"/>
  <c r="F67"/>
  <c r="B67"/>
  <c r="F189"/>
  <c r="B189"/>
  <c r="F188"/>
  <c r="B188"/>
  <c r="F62"/>
  <c r="B70"/>
  <c r="B62"/>
  <c r="F187"/>
  <c r="B187"/>
  <c r="F71"/>
  <c r="B71"/>
  <c r="F186"/>
  <c r="B72"/>
  <c r="F185"/>
  <c r="B185"/>
  <c r="B73"/>
  <c r="F184"/>
  <c r="B184"/>
  <c r="F183"/>
  <c r="B183"/>
  <c r="B76"/>
  <c r="F182"/>
  <c r="F77"/>
  <c r="F181"/>
  <c r="B181"/>
  <c r="F180"/>
  <c r="B79"/>
  <c r="F179"/>
  <c r="F81"/>
  <c r="B81"/>
  <c r="F178"/>
  <c r="B178"/>
  <c r="F82"/>
  <c r="B82"/>
  <c r="F177"/>
  <c r="F83"/>
  <c r="B83"/>
  <c r="F176"/>
  <c r="B176"/>
  <c r="F84"/>
  <c r="F74"/>
  <c r="B84"/>
  <c r="B74"/>
  <c r="F175"/>
  <c r="F85"/>
  <c r="B85"/>
  <c r="F174"/>
  <c r="B174"/>
  <c r="F87"/>
  <c r="B87"/>
  <c r="F173"/>
  <c r="B173"/>
  <c r="F88"/>
  <c r="F172"/>
  <c r="B172"/>
  <c r="F89"/>
  <c r="B89"/>
  <c r="F171"/>
  <c r="B171"/>
  <c r="F90"/>
  <c r="B90"/>
  <c r="F170"/>
  <c r="F91"/>
  <c r="F80"/>
  <c r="B91"/>
  <c r="B80"/>
  <c r="F169"/>
  <c r="B169"/>
  <c r="F93"/>
  <c r="B93"/>
  <c r="F168"/>
  <c r="F94"/>
  <c r="F167"/>
  <c r="B167"/>
  <c r="F95"/>
  <c r="B95"/>
  <c r="F166"/>
  <c r="B166"/>
  <c r="F96"/>
  <c r="B96"/>
  <c r="F165"/>
  <c r="B165"/>
  <c r="F97"/>
  <c r="B97"/>
  <c r="F164"/>
  <c r="B164"/>
  <c r="F99"/>
  <c r="F86"/>
  <c r="B99"/>
  <c r="B163"/>
  <c r="F100"/>
  <c r="B100"/>
  <c r="F101"/>
  <c r="F102"/>
  <c r="B160"/>
  <c r="F103"/>
  <c r="B103"/>
  <c r="F105"/>
  <c r="B105"/>
  <c r="F106"/>
  <c r="F92"/>
  <c r="B106"/>
  <c r="B92"/>
  <c r="F157"/>
  <c r="B157"/>
  <c r="F107"/>
  <c r="B107"/>
  <c r="F156"/>
  <c r="F108"/>
  <c r="F155"/>
  <c r="B155"/>
  <c r="F109"/>
  <c r="F154"/>
  <c r="F111"/>
  <c r="F153"/>
  <c r="B153"/>
  <c r="F112"/>
  <c r="B112"/>
  <c r="F152"/>
  <c r="F113"/>
  <c r="F98"/>
  <c r="B113"/>
  <c r="B98"/>
  <c r="B151"/>
  <c r="F114"/>
  <c r="B114"/>
  <c r="F115"/>
  <c r="B115"/>
  <c r="B149"/>
  <c r="F117"/>
  <c r="B117"/>
  <c r="B148"/>
  <c r="F118"/>
  <c r="B147"/>
  <c r="F119"/>
  <c r="B119"/>
  <c r="F120"/>
  <c r="F104"/>
  <c r="B104"/>
  <c r="F145"/>
  <c r="F121"/>
  <c r="B121"/>
  <c r="F144"/>
  <c r="F123"/>
  <c r="B123"/>
  <c r="F143"/>
  <c r="F124"/>
  <c r="F142"/>
  <c r="B142"/>
  <c r="F125"/>
  <c r="B125"/>
  <c r="F141"/>
  <c r="F126"/>
  <c r="F140"/>
  <c r="B140"/>
  <c r="F127"/>
  <c r="B127"/>
  <c r="B110"/>
  <c r="B139"/>
  <c r="F129"/>
  <c r="F122"/>
  <c r="B129"/>
  <c r="B122"/>
  <c r="B138"/>
  <c r="F130"/>
  <c r="F131"/>
  <c r="B131"/>
  <c r="F136"/>
  <c r="B136"/>
  <c r="F132"/>
  <c r="F133"/>
  <c r="B133"/>
  <c r="F134"/>
  <c r="B134"/>
  <c r="F128"/>
  <c r="F116"/>
  <c r="C9" i="5"/>
  <c r="E9" s="1"/>
  <c r="C10"/>
  <c r="E10" s="1"/>
  <c r="C11"/>
  <c r="E11" s="1"/>
  <c r="C12"/>
  <c r="E12" s="1"/>
  <c r="C13"/>
  <c r="E13" s="1"/>
  <c r="C8"/>
  <c r="E8" s="1"/>
  <c r="C3"/>
  <c r="E3" s="1"/>
  <c r="C4"/>
  <c r="E4" s="1"/>
  <c r="C5"/>
  <c r="E5" s="1"/>
  <c r="C6"/>
  <c r="E6" s="1"/>
  <c r="C7"/>
  <c r="E7" s="1"/>
  <c r="C2"/>
  <c r="E2" s="1"/>
  <c r="E14"/>
  <c r="E15"/>
  <c r="E17"/>
  <c r="E20"/>
  <c r="E25"/>
  <c r="E26"/>
  <c r="E27"/>
  <c r="E30"/>
  <c r="E32"/>
  <c r="E37"/>
  <c r="E38"/>
  <c r="E40"/>
  <c r="E42"/>
  <c r="E44"/>
  <c r="E46"/>
  <c r="E51"/>
  <c r="E53"/>
  <c r="E55"/>
  <c r="E57"/>
  <c r="E61"/>
  <c r="E63"/>
  <c r="E65"/>
  <c r="E67"/>
  <c r="E73"/>
  <c r="E74"/>
  <c r="E75"/>
  <c r="E76"/>
  <c r="E77"/>
  <c r="E78"/>
  <c r="E79"/>
  <c r="E80"/>
  <c r="E81"/>
  <c r="E83"/>
  <c r="E86"/>
  <c r="E87"/>
  <c r="E88"/>
  <c r="E89"/>
  <c r="E90"/>
  <c r="E91"/>
  <c r="E92"/>
  <c r="E97"/>
  <c r="E98"/>
  <c r="E99"/>
  <c r="E100"/>
  <c r="E101"/>
  <c r="E102"/>
  <c r="E103"/>
  <c r="E104"/>
  <c r="E107"/>
  <c r="E109"/>
  <c r="E110"/>
  <c r="E111"/>
  <c r="E112"/>
  <c r="E113"/>
  <c r="E114"/>
  <c r="E115"/>
  <c r="E116"/>
  <c r="E118"/>
  <c r="E122"/>
  <c r="E123"/>
  <c r="E124"/>
  <c r="E125"/>
  <c r="E126"/>
  <c r="E127"/>
  <c r="E128"/>
  <c r="E133"/>
  <c r="E134"/>
  <c r="E136"/>
  <c r="E138"/>
  <c r="E140"/>
  <c r="E142"/>
  <c r="E146"/>
  <c r="E147"/>
  <c r="E148"/>
  <c r="E149"/>
  <c r="E150"/>
  <c r="E151"/>
  <c r="E152"/>
  <c r="E157"/>
  <c r="E158"/>
  <c r="E159"/>
  <c r="E160"/>
  <c r="E161"/>
  <c r="E162"/>
  <c r="E163"/>
  <c r="E164"/>
  <c r="E166"/>
  <c r="E170"/>
  <c r="E171"/>
  <c r="E172"/>
  <c r="E173"/>
  <c r="E174"/>
  <c r="E175"/>
  <c r="E176"/>
  <c r="E181"/>
  <c r="E182"/>
  <c r="E184"/>
  <c r="E186"/>
  <c r="E188"/>
  <c r="E190"/>
  <c r="E194"/>
  <c r="E196"/>
  <c r="E198"/>
  <c r="E200"/>
  <c r="E202"/>
  <c r="E206"/>
  <c r="E208"/>
  <c r="E210"/>
  <c r="E212"/>
  <c r="E214"/>
  <c r="E215"/>
  <c r="E218"/>
  <c r="E220"/>
  <c r="E222"/>
  <c r="E224"/>
  <c r="E225"/>
  <c r="E227"/>
  <c r="E230"/>
  <c r="E231"/>
  <c r="E232"/>
  <c r="E233"/>
  <c r="E234"/>
  <c r="E235"/>
  <c r="E236"/>
  <c r="E241"/>
  <c r="F5"/>
  <c r="F2"/>
  <c r="F103"/>
  <c r="B5"/>
  <c r="B3"/>
  <c r="B103"/>
  <c r="B23"/>
  <c r="B50"/>
  <c r="B241"/>
  <c r="F6"/>
  <c r="F9"/>
  <c r="F175"/>
  <c r="F44"/>
  <c r="B6"/>
  <c r="B4"/>
  <c r="F7"/>
  <c r="F176"/>
  <c r="B176"/>
  <c r="B10"/>
  <c r="B45"/>
  <c r="B52"/>
  <c r="F239"/>
  <c r="B239"/>
  <c r="F11"/>
  <c r="F177"/>
  <c r="F46"/>
  <c r="F238"/>
  <c r="B238"/>
  <c r="F12"/>
  <c r="F178"/>
  <c r="F47"/>
  <c r="B178"/>
  <c r="B12"/>
  <c r="B47"/>
  <c r="B54"/>
  <c r="B237"/>
  <c r="F179"/>
  <c r="B48"/>
  <c r="F236"/>
  <c r="B236"/>
  <c r="F180"/>
  <c r="F14"/>
  <c r="F49"/>
  <c r="B14"/>
  <c r="B56"/>
  <c r="B235"/>
  <c r="F181"/>
  <c r="F15"/>
  <c r="F57"/>
  <c r="B181"/>
  <c r="F182"/>
  <c r="F16"/>
  <c r="B16"/>
  <c r="B58"/>
  <c r="F233"/>
  <c r="F183"/>
  <c r="F17"/>
  <c r="B183"/>
  <c r="B59"/>
  <c r="B232"/>
  <c r="F184"/>
  <c r="F18"/>
  <c r="F60"/>
  <c r="B231"/>
  <c r="F185"/>
  <c r="F19"/>
  <c r="B185"/>
  <c r="B19"/>
  <c r="B61"/>
  <c r="B230"/>
  <c r="F186"/>
  <c r="F20"/>
  <c r="F62"/>
  <c r="B62"/>
  <c r="F229"/>
  <c r="B229"/>
  <c r="F21"/>
  <c r="F187"/>
  <c r="F63"/>
  <c r="B21"/>
  <c r="B187"/>
  <c r="B63"/>
  <c r="F228"/>
  <c r="F22"/>
  <c r="F188"/>
  <c r="F64"/>
  <c r="B188"/>
  <c r="F227"/>
  <c r="B227"/>
  <c r="F23"/>
  <c r="F189"/>
  <c r="F65"/>
  <c r="B189"/>
  <c r="B65"/>
  <c r="F226"/>
  <c r="B226"/>
  <c r="F24"/>
  <c r="F190"/>
  <c r="F66"/>
  <c r="B24"/>
  <c r="B190"/>
  <c r="B66"/>
  <c r="F225"/>
  <c r="B225"/>
  <c r="F25"/>
  <c r="F191"/>
  <c r="F67"/>
  <c r="B25"/>
  <c r="B191"/>
  <c r="B67"/>
  <c r="F224"/>
  <c r="B224"/>
  <c r="F27"/>
  <c r="F192"/>
  <c r="F26"/>
  <c r="F68"/>
  <c r="B27"/>
  <c r="B26"/>
  <c r="B223"/>
  <c r="F28"/>
  <c r="F193"/>
  <c r="B193"/>
  <c r="F29"/>
  <c r="B70"/>
  <c r="B221"/>
  <c r="F30"/>
  <c r="F80"/>
  <c r="F71"/>
  <c r="B30"/>
  <c r="B195"/>
  <c r="B71"/>
  <c r="B220"/>
  <c r="F31"/>
  <c r="F81"/>
  <c r="B196"/>
  <c r="B72"/>
  <c r="B219"/>
  <c r="F33"/>
  <c r="F82"/>
  <c r="B33"/>
  <c r="B73"/>
  <c r="F34"/>
  <c r="F83"/>
  <c r="F198"/>
  <c r="F32"/>
  <c r="F74"/>
  <c r="B34"/>
  <c r="B32"/>
  <c r="B74"/>
  <c r="F217"/>
  <c r="B217"/>
  <c r="F35"/>
  <c r="F84"/>
  <c r="F75"/>
  <c r="B35"/>
  <c r="B199"/>
  <c r="B75"/>
  <c r="F216"/>
  <c r="F36"/>
  <c r="F85"/>
  <c r="F200"/>
  <c r="F76"/>
  <c r="B36"/>
  <c r="B200"/>
  <c r="B76"/>
  <c r="F215"/>
  <c r="B215"/>
  <c r="F37"/>
  <c r="F86"/>
  <c r="F201"/>
  <c r="F77"/>
  <c r="B201"/>
  <c r="F214"/>
  <c r="B214"/>
  <c r="F39"/>
  <c r="F87"/>
  <c r="F202"/>
  <c r="F78"/>
  <c r="B39"/>
  <c r="B202"/>
  <c r="B78"/>
  <c r="F213"/>
  <c r="B213"/>
  <c r="F40"/>
  <c r="F88"/>
  <c r="F203"/>
  <c r="F79"/>
  <c r="B203"/>
  <c r="B79"/>
  <c r="F212"/>
  <c r="B212"/>
  <c r="F41"/>
  <c r="F89"/>
  <c r="F38"/>
  <c r="F204"/>
  <c r="B41"/>
  <c r="B38"/>
  <c r="B80"/>
  <c r="F211"/>
  <c r="B211"/>
  <c r="F42"/>
  <c r="F90"/>
  <c r="F205"/>
  <c r="B205"/>
  <c r="B81"/>
  <c r="F210"/>
  <c r="F43"/>
  <c r="F91"/>
  <c r="F206"/>
  <c r="B43"/>
  <c r="B206"/>
  <c r="B82"/>
  <c r="F209"/>
  <c r="B209"/>
  <c r="F92"/>
  <c r="F207"/>
  <c r="B207"/>
  <c r="B83"/>
  <c r="F208"/>
  <c r="F93"/>
  <c r="B84"/>
  <c r="F94"/>
  <c r="B85"/>
  <c r="F95"/>
  <c r="F96"/>
  <c r="B87"/>
  <c r="F97"/>
  <c r="B89"/>
  <c r="B90"/>
  <c r="B91"/>
  <c r="B92"/>
  <c r="B93"/>
  <c r="B95"/>
  <c r="B96"/>
  <c r="B97"/>
  <c r="F98"/>
  <c r="B98"/>
  <c r="F99"/>
  <c r="B99"/>
  <c r="F100"/>
  <c r="B100"/>
  <c r="F101"/>
  <c r="B101"/>
  <c r="F102"/>
  <c r="B102"/>
  <c r="F104"/>
  <c r="B104"/>
  <c r="F105"/>
  <c r="B128"/>
  <c r="B105"/>
  <c r="F106"/>
  <c r="B106"/>
  <c r="F107"/>
  <c r="B107"/>
  <c r="F108"/>
  <c r="F109"/>
  <c r="B109"/>
  <c r="B110"/>
  <c r="B111"/>
  <c r="B112"/>
  <c r="B113"/>
  <c r="B114"/>
  <c r="B115"/>
  <c r="F174"/>
  <c r="F173"/>
  <c r="B173"/>
  <c r="F121"/>
  <c r="B121"/>
  <c r="F172"/>
  <c r="B172"/>
  <c r="F171"/>
  <c r="B171"/>
  <c r="F170"/>
  <c r="F122"/>
  <c r="B122"/>
  <c r="F169"/>
  <c r="B169"/>
  <c r="B148"/>
  <c r="F168"/>
  <c r="F167"/>
  <c r="B167"/>
  <c r="F166"/>
  <c r="B166"/>
  <c r="B149"/>
  <c r="F165"/>
  <c r="B165"/>
  <c r="F164"/>
  <c r="B164"/>
  <c r="F120"/>
  <c r="B163"/>
  <c r="B160"/>
  <c r="B158"/>
  <c r="F157"/>
  <c r="B157"/>
  <c r="F156"/>
  <c r="F155"/>
  <c r="B155"/>
  <c r="F154"/>
  <c r="F136"/>
  <c r="B136"/>
  <c r="F153"/>
  <c r="B153"/>
  <c r="F152"/>
  <c r="B151"/>
  <c r="F125"/>
  <c r="B125"/>
  <c r="F117"/>
  <c r="B117"/>
  <c r="F118"/>
  <c r="B118"/>
  <c r="B147"/>
  <c r="F119"/>
  <c r="B119"/>
  <c r="F145"/>
  <c r="F144"/>
  <c r="F123"/>
  <c r="B123"/>
  <c r="F143"/>
  <c r="B143"/>
  <c r="F124"/>
  <c r="B124"/>
  <c r="F142"/>
  <c r="B142"/>
  <c r="F135"/>
  <c r="F141"/>
  <c r="F126"/>
  <c r="F140"/>
  <c r="B140"/>
  <c r="F127"/>
  <c r="B127"/>
  <c r="F139"/>
  <c r="F129"/>
  <c r="F116"/>
  <c r="B129"/>
  <c r="F138"/>
  <c r="B138"/>
  <c r="F130"/>
  <c r="F133"/>
  <c r="B133"/>
  <c r="F137"/>
  <c r="F131"/>
  <c r="B131"/>
  <c r="F132"/>
  <c r="F134"/>
  <c r="B134"/>
  <c r="F128"/>
  <c r="F3" i="4"/>
  <c r="F2"/>
  <c r="F26"/>
  <c r="F47"/>
  <c r="F122"/>
  <c r="F81"/>
  <c r="F32"/>
  <c r="F20"/>
  <c r="F79"/>
  <c r="F15"/>
  <c r="F11"/>
  <c r="F65"/>
  <c r="F8"/>
  <c r="F27"/>
  <c r="F40"/>
  <c r="F41"/>
  <c r="F130"/>
  <c r="F39"/>
  <c r="F36"/>
  <c r="F38"/>
  <c r="F66"/>
  <c r="F25"/>
  <c r="F42"/>
  <c r="F9"/>
  <c r="F68"/>
  <c r="F14"/>
  <c r="F17"/>
  <c r="F44"/>
  <c r="F10"/>
  <c r="F140"/>
  <c r="F75"/>
  <c r="F29"/>
  <c r="F62"/>
  <c r="F126"/>
  <c r="F23"/>
  <c r="F12"/>
  <c r="F28"/>
  <c r="F22"/>
  <c r="F74"/>
  <c r="F105"/>
  <c r="F164"/>
  <c r="F33"/>
  <c r="F80"/>
  <c r="F45"/>
  <c r="F86"/>
  <c r="F18"/>
  <c r="F92"/>
  <c r="F98"/>
  <c r="F24"/>
  <c r="F124"/>
  <c r="F104"/>
  <c r="F134"/>
  <c r="F37"/>
  <c r="F46"/>
  <c r="F141"/>
  <c r="F116"/>
  <c r="F133"/>
  <c r="F30"/>
  <c r="F128"/>
  <c r="F123"/>
  <c r="F31"/>
  <c r="F49"/>
  <c r="F131"/>
  <c r="F35"/>
  <c r="F142"/>
  <c r="F43"/>
  <c r="F152"/>
  <c r="F132"/>
  <c r="F170"/>
  <c r="F19"/>
  <c r="F156"/>
  <c r="F118"/>
  <c r="F107"/>
  <c r="F176"/>
  <c r="F155"/>
  <c r="F182"/>
  <c r="F188"/>
  <c r="F200"/>
  <c r="F16"/>
  <c r="F206"/>
  <c r="F212"/>
  <c r="F76"/>
  <c r="F34"/>
  <c r="F129"/>
  <c r="F224"/>
  <c r="F53"/>
  <c r="F13"/>
  <c r="F236"/>
  <c r="F119"/>
  <c r="F48"/>
  <c r="F96"/>
  <c r="F135"/>
  <c r="F67"/>
  <c r="F78"/>
  <c r="F21"/>
  <c r="F144"/>
  <c r="F153"/>
  <c r="F82"/>
  <c r="F143"/>
  <c r="F108"/>
  <c r="F125"/>
  <c r="F154"/>
  <c r="F63"/>
  <c r="F99"/>
  <c r="F77"/>
  <c r="F64"/>
  <c r="F109"/>
  <c r="F145"/>
  <c r="F93"/>
  <c r="F101"/>
  <c r="F173"/>
  <c r="F97"/>
  <c r="F157"/>
  <c r="F95"/>
  <c r="F88"/>
  <c r="F127"/>
  <c r="F85"/>
  <c r="F94"/>
  <c r="F100"/>
  <c r="F171"/>
  <c r="F60"/>
  <c r="F172"/>
  <c r="F121"/>
  <c r="F174"/>
  <c r="F87"/>
  <c r="F84"/>
  <c r="F102"/>
  <c r="F166"/>
  <c r="F83"/>
  <c r="F167"/>
  <c r="F169"/>
  <c r="F168"/>
  <c r="F139"/>
  <c r="F120"/>
  <c r="F138"/>
  <c r="F136"/>
  <c r="F89"/>
  <c r="F137"/>
  <c r="F73"/>
  <c r="F117"/>
  <c r="F71"/>
  <c r="F91"/>
  <c r="F90"/>
  <c r="F106"/>
  <c r="B3"/>
  <c r="B14"/>
  <c r="B2"/>
  <c r="B5"/>
  <c r="B47"/>
  <c r="B4"/>
  <c r="B122"/>
  <c r="B81"/>
  <c r="B22"/>
  <c r="B32"/>
  <c r="B79"/>
  <c r="B110"/>
  <c r="B15"/>
  <c r="B65"/>
  <c r="B7"/>
  <c r="B24"/>
  <c r="B27"/>
  <c r="B6"/>
  <c r="B41"/>
  <c r="B130"/>
  <c r="B36"/>
  <c r="B38"/>
  <c r="B66"/>
  <c r="B25"/>
  <c r="B42"/>
  <c r="B17"/>
  <c r="B10"/>
  <c r="B21"/>
  <c r="B50"/>
  <c r="B140"/>
  <c r="B56"/>
  <c r="B29"/>
  <c r="B62"/>
  <c r="B126"/>
  <c r="B70"/>
  <c r="B23"/>
  <c r="B12"/>
  <c r="B160"/>
  <c r="B74"/>
  <c r="B105"/>
  <c r="B164"/>
  <c r="B80"/>
  <c r="B45"/>
  <c r="B92"/>
  <c r="B54"/>
  <c r="B98"/>
  <c r="B124"/>
  <c r="B104"/>
  <c r="B55"/>
  <c r="B134"/>
  <c r="B37"/>
  <c r="B141"/>
  <c r="B133"/>
  <c r="B30"/>
  <c r="B123"/>
  <c r="B131"/>
  <c r="B142"/>
  <c r="B43"/>
  <c r="B152"/>
  <c r="B19"/>
  <c r="B158"/>
  <c r="B107"/>
  <c r="B176"/>
  <c r="B155"/>
  <c r="B52"/>
  <c r="B188"/>
  <c r="B200"/>
  <c r="B16"/>
  <c r="B212"/>
  <c r="B76"/>
  <c r="B111"/>
  <c r="B34"/>
  <c r="B218"/>
  <c r="B129"/>
  <c r="B224"/>
  <c r="B236"/>
  <c r="B119"/>
  <c r="B48"/>
  <c r="B96"/>
  <c r="B67"/>
  <c r="B78"/>
  <c r="B58"/>
  <c r="B153"/>
  <c r="B82"/>
  <c r="B143"/>
  <c r="B125"/>
  <c r="B154"/>
  <c r="B63"/>
  <c r="B99"/>
  <c r="B64"/>
  <c r="B145"/>
  <c r="B93"/>
  <c r="B173"/>
  <c r="B97"/>
  <c r="B157"/>
  <c r="B95"/>
  <c r="B127"/>
  <c r="B85"/>
  <c r="B94"/>
  <c r="B100"/>
  <c r="B151"/>
  <c r="B112"/>
  <c r="B147"/>
  <c r="B171"/>
  <c r="B172"/>
  <c r="B121"/>
  <c r="B87"/>
  <c r="B148"/>
  <c r="B84"/>
  <c r="B166"/>
  <c r="B83"/>
  <c r="B167"/>
  <c r="B169"/>
  <c r="B120"/>
  <c r="B138"/>
  <c r="B136"/>
  <c r="B89"/>
  <c r="B73"/>
  <c r="B117"/>
  <c r="B71"/>
  <c r="B149"/>
  <c r="B91"/>
  <c r="B163"/>
  <c r="B90"/>
  <c r="B114"/>
  <c r="B72"/>
  <c r="B241"/>
  <c r="B106"/>
  <c r="F237"/>
  <c r="F238"/>
  <c r="F239"/>
  <c r="F240"/>
  <c r="F241"/>
  <c r="F235"/>
  <c r="F225"/>
  <c r="F226"/>
  <c r="F227"/>
  <c r="F228"/>
  <c r="F229"/>
  <c r="F213"/>
  <c r="F214"/>
  <c r="F215"/>
  <c r="F216"/>
  <c r="F217"/>
  <c r="F207"/>
  <c r="F208"/>
  <c r="F209"/>
  <c r="F210"/>
  <c r="F211"/>
  <c r="F201"/>
  <c r="F202"/>
  <c r="F203"/>
  <c r="F204"/>
  <c r="F205"/>
  <c r="F189"/>
  <c r="F190"/>
  <c r="F191"/>
  <c r="F192"/>
  <c r="F193"/>
  <c r="F183"/>
  <c r="F184"/>
  <c r="F185"/>
  <c r="F186"/>
  <c r="F187"/>
  <c r="F177"/>
  <c r="F178"/>
  <c r="F179"/>
  <c r="F180"/>
  <c r="F181"/>
  <c r="F175"/>
  <c r="F165"/>
  <c r="F103"/>
  <c r="B237"/>
  <c r="B238"/>
  <c r="B239"/>
  <c r="B103"/>
  <c r="B165"/>
  <c r="B175"/>
  <c r="B178"/>
  <c r="B181"/>
  <c r="B183"/>
  <c r="B184"/>
  <c r="B185"/>
  <c r="B187"/>
  <c r="B189"/>
  <c r="B190"/>
  <c r="B191"/>
  <c r="B193"/>
  <c r="B196"/>
  <c r="B199"/>
  <c r="B201"/>
  <c r="B202"/>
  <c r="B203"/>
  <c r="B205"/>
  <c r="B207"/>
  <c r="B208"/>
  <c r="B209"/>
  <c r="B211"/>
  <c r="B213"/>
  <c r="B214"/>
  <c r="B215"/>
  <c r="B217"/>
  <c r="B219"/>
  <c r="B220"/>
  <c r="B221"/>
  <c r="B223"/>
  <c r="B225"/>
  <c r="B226"/>
  <c r="B227"/>
  <c r="B229"/>
  <c r="B232"/>
  <c r="B235"/>
  <c r="F4" i="3"/>
  <c r="D4"/>
  <c r="N3"/>
  <c r="M3"/>
  <c r="L3"/>
  <c r="J3"/>
  <c r="I3"/>
  <c r="H3"/>
  <c r="G3"/>
  <c r="F3"/>
  <c r="D3"/>
  <c r="N2"/>
  <c r="M2"/>
  <c r="L2"/>
  <c r="K2"/>
  <c r="J2"/>
  <c r="H2"/>
  <c r="G2"/>
  <c r="F2"/>
  <c r="E2"/>
  <c r="D2"/>
  <c r="C2"/>
  <c r="M1"/>
  <c r="L1"/>
  <c r="J1"/>
  <c r="I1"/>
  <c r="H1"/>
  <c r="G1"/>
  <c r="F1"/>
  <c r="E1"/>
  <c r="D1"/>
  <c r="C1"/>
  <c r="D202" i="1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6"/>
  <c r="D125"/>
  <c r="D124"/>
  <c r="D123"/>
  <c r="D122"/>
  <c r="D121"/>
  <c r="D120"/>
  <c r="D119"/>
  <c r="D118"/>
  <c r="D117"/>
  <c r="D116"/>
  <c r="D115"/>
  <c r="D113"/>
  <c r="D112"/>
  <c r="D111"/>
  <c r="D110"/>
  <c r="D109"/>
  <c r="I2" i="3"/>
  <c r="F114" i="4"/>
  <c r="F113"/>
  <c r="F115"/>
  <c r="F112"/>
  <c r="F111"/>
  <c r="F110"/>
  <c r="F115" i="5"/>
  <c r="F114"/>
  <c r="F113"/>
  <c r="F112"/>
  <c r="F111"/>
  <c r="F110"/>
  <c r="F110" i="7"/>
  <c r="F111" i="8"/>
  <c r="F112"/>
  <c r="F111" i="11"/>
  <c r="F113"/>
  <c r="F115"/>
  <c r="E12" i="9"/>
  <c r="E2" i="10"/>
  <c r="F44" i="11"/>
  <c r="F46"/>
  <c r="F48"/>
  <c r="F4"/>
  <c r="B4" i="8"/>
  <c r="B7"/>
  <c r="M255" i="3"/>
  <c r="M199"/>
  <c r="N199" s="1"/>
  <c r="C166" i="11" s="1"/>
  <c r="E166" s="1"/>
  <c r="M164" i="3"/>
  <c r="N164" s="1"/>
  <c r="C136" i="11" s="1"/>
  <c r="E136" s="1"/>
  <c r="M136" i="3"/>
  <c r="N136" s="1"/>
  <c r="C112" i="11" s="1"/>
  <c r="E112" s="1"/>
  <c r="M120" i="3"/>
  <c r="N120" s="1"/>
  <c r="C98" i="11" s="1"/>
  <c r="E98" s="1"/>
  <c r="M118" i="3"/>
  <c r="N118" s="1"/>
  <c r="C97" i="11" s="1"/>
  <c r="E97" s="1"/>
  <c r="M89" i="3"/>
  <c r="M64"/>
  <c r="M33"/>
  <c r="M279"/>
  <c r="N279" s="1"/>
  <c r="C235" i="11" s="1"/>
  <c r="E235" s="1"/>
  <c r="M257" i="3"/>
  <c r="N257" s="1"/>
  <c r="C216" i="11" s="1"/>
  <c r="E216" s="1"/>
  <c r="M223" i="3"/>
  <c r="N223" s="1"/>
  <c r="C187" i="11" s="1"/>
  <c r="E187" s="1"/>
  <c r="M207" i="3"/>
  <c r="N207" s="1"/>
  <c r="C173" i="11" s="1"/>
  <c r="E173" s="1"/>
  <c r="M201" i="3"/>
  <c r="N201" s="1"/>
  <c r="C168" i="11" s="1"/>
  <c r="E168" s="1"/>
  <c r="M172" i="3"/>
  <c r="N172" s="1"/>
  <c r="C143" i="11" s="1"/>
  <c r="E143" s="1"/>
  <c r="M167" i="3"/>
  <c r="N167" s="1"/>
  <c r="C139" i="11" s="1"/>
  <c r="E139" s="1"/>
  <c r="M127" i="3"/>
  <c r="N127" s="1"/>
  <c r="C104" i="11" s="1"/>
  <c r="E104" s="1"/>
  <c r="M122" i="3"/>
  <c r="N122"/>
  <c r="C100" i="11" s="1"/>
  <c r="E100" s="1"/>
  <c r="M71" i="3"/>
  <c r="M67"/>
  <c r="M66"/>
  <c r="M48"/>
  <c r="M283"/>
  <c r="N283" s="1"/>
  <c r="C238" i="11" s="1"/>
  <c r="E238" s="1"/>
  <c r="M265" i="3"/>
  <c r="N265" s="1"/>
  <c r="C223" i="11" s="1"/>
  <c r="E223" s="1"/>
  <c r="M236" i="3"/>
  <c r="N236" s="1"/>
  <c r="C198" i="11" s="1"/>
  <c r="E198" s="1"/>
  <c r="M227" i="3"/>
  <c r="N227" s="1"/>
  <c r="C190" i="11" s="1"/>
  <c r="E190" s="1"/>
  <c r="M211" i="3"/>
  <c r="N211" s="1"/>
  <c r="C176" i="11" s="1"/>
  <c r="E176" s="1"/>
  <c r="M209" i="3"/>
  <c r="N209" s="1"/>
  <c r="C175" i="11" s="1"/>
  <c r="E175" s="1"/>
  <c r="M180" i="3"/>
  <c r="N180" s="1"/>
  <c r="M171"/>
  <c r="N171"/>
  <c r="C142" i="11" s="1"/>
  <c r="E142" s="1"/>
  <c r="M159" i="3"/>
  <c r="N159" s="1"/>
  <c r="C132" i="11" s="1"/>
  <c r="E132" s="1"/>
  <c r="M108" i="3"/>
  <c r="N108" s="1"/>
  <c r="C88" i="11" s="1"/>
  <c r="E88" s="1"/>
  <c r="M92" i="3"/>
  <c r="M52"/>
  <c r="M36"/>
  <c r="M8"/>
  <c r="M285"/>
  <c r="M264"/>
  <c r="N264" s="1"/>
  <c r="C222" i="11" s="1"/>
  <c r="E222" s="1"/>
  <c r="M241" i="3"/>
  <c r="N241" s="1"/>
  <c r="C202" i="11"/>
  <c r="E202" s="1"/>
  <c r="M237" i="3"/>
  <c r="N237" s="1"/>
  <c r="C199" i="11"/>
  <c r="M229" i="3"/>
  <c r="N229"/>
  <c r="C192" i="11" s="1"/>
  <c r="E192" s="1"/>
  <c r="M208" i="3"/>
  <c r="N208" s="1"/>
  <c r="C174" i="11" s="1"/>
  <c r="E174" s="1"/>
  <c r="M186" i="3"/>
  <c r="N186" s="1"/>
  <c r="C155" i="11" s="1"/>
  <c r="E155" s="1"/>
  <c r="M185" i="3"/>
  <c r="N185" s="1"/>
  <c r="M173"/>
  <c r="N173" s="1"/>
  <c r="C144" i="11" s="1"/>
  <c r="E144" s="1"/>
  <c r="M155" i="3"/>
  <c r="N155" s="1"/>
  <c r="C128" i="11" s="1"/>
  <c r="E128" s="1"/>
  <c r="M143" i="3"/>
  <c r="N143" s="1"/>
  <c r="C118" i="11" s="1"/>
  <c r="E118" s="1"/>
  <c r="M138" i="3"/>
  <c r="N138"/>
  <c r="C114" i="11" s="1"/>
  <c r="E114" s="1"/>
  <c r="M117" i="3"/>
  <c r="N117" s="1"/>
  <c r="C96" i="11" s="1"/>
  <c r="E96" s="1"/>
  <c r="M109" i="3"/>
  <c r="N109" s="1"/>
  <c r="C89" i="11" s="1"/>
  <c r="E89" s="1"/>
  <c r="M99" i="3"/>
  <c r="M94"/>
  <c r="M82"/>
  <c r="M61"/>
  <c r="M38"/>
  <c r="M27"/>
  <c r="M26"/>
  <c r="M23"/>
  <c r="M22"/>
  <c r="M13"/>
  <c r="M278"/>
  <c r="N278"/>
  <c r="C234" i="11" s="1"/>
  <c r="E234" s="1"/>
  <c r="M260" i="3"/>
  <c r="M248"/>
  <c r="N248" s="1"/>
  <c r="C208" i="11" s="1"/>
  <c r="E208" s="1"/>
  <c r="M234" i="3"/>
  <c r="N234" s="1"/>
  <c r="C196" i="11" s="1"/>
  <c r="E196" s="1"/>
  <c r="M233" i="3"/>
  <c r="M222"/>
  <c r="N222" s="1"/>
  <c r="C186" i="11" s="1"/>
  <c r="E186" s="1"/>
  <c r="M221" i="3"/>
  <c r="N221" s="1"/>
  <c r="C185" i="11" s="1"/>
  <c r="E185" s="1"/>
  <c r="M192" i="3"/>
  <c r="N192" s="1"/>
  <c r="C160" i="11" s="1"/>
  <c r="E160" s="1"/>
  <c r="M178" i="3"/>
  <c r="N178" s="1"/>
  <c r="C148" i="11" s="1"/>
  <c r="E148" s="1"/>
  <c r="M177" i="3"/>
  <c r="N177" s="1"/>
  <c r="C147" i="11" s="1"/>
  <c r="E147" s="1"/>
  <c r="M170" i="3"/>
  <c r="N170" s="1"/>
  <c r="C141" i="11" s="1"/>
  <c r="E141" s="1"/>
  <c r="M169" i="3"/>
  <c r="N169" s="1"/>
  <c r="M166"/>
  <c r="N166" s="1"/>
  <c r="C138" i="11" s="1"/>
  <c r="E138" s="1"/>
  <c r="M157" i="3"/>
  <c r="N157" s="1"/>
  <c r="M152"/>
  <c r="N152"/>
  <c r="C126" i="11" s="1"/>
  <c r="E126" s="1"/>
  <c r="M148" i="3"/>
  <c r="N148"/>
  <c r="M145"/>
  <c r="N145"/>
  <c r="C120" i="11" s="1"/>
  <c r="E120" s="1"/>
  <c r="M134" i="3"/>
  <c r="M131"/>
  <c r="N131" s="1"/>
  <c r="C108" i="11" s="1"/>
  <c r="E108" s="1"/>
  <c r="M113" i="3"/>
  <c r="M101"/>
  <c r="N101" s="1"/>
  <c r="C82" i="11" s="1"/>
  <c r="E82" s="1"/>
  <c r="M97" i="3"/>
  <c r="M86"/>
  <c r="M78"/>
  <c r="M57"/>
  <c r="M45"/>
  <c r="M41"/>
  <c r="M31"/>
  <c r="M30"/>
  <c r="M17"/>
  <c r="N17" s="1"/>
  <c r="C10" i="11" s="1"/>
  <c r="E10" s="1"/>
  <c r="M276" i="3"/>
  <c r="N276" s="1"/>
  <c r="C232" i="11" s="1"/>
  <c r="E232" s="1"/>
  <c r="M262" i="3"/>
  <c r="N262"/>
  <c r="C220" i="11" s="1"/>
  <c r="E220" s="1"/>
  <c r="M253" i="3"/>
  <c r="M250"/>
  <c r="N250" s="1"/>
  <c r="C210" i="11" s="1"/>
  <c r="E210" s="1"/>
  <c r="M249" i="3"/>
  <c r="N249" s="1"/>
  <c r="C209" i="11" s="1"/>
  <c r="E209" s="1"/>
  <c r="M232" i="3"/>
  <c r="N232" s="1"/>
  <c r="C194" i="11" s="1"/>
  <c r="E194" s="1"/>
  <c r="M197" i="3"/>
  <c r="N197" s="1"/>
  <c r="C164" i="11" s="1"/>
  <c r="E164" s="1"/>
  <c r="M194" i="3"/>
  <c r="N194" s="1"/>
  <c r="C162" i="11" s="1"/>
  <c r="E162" s="1"/>
  <c r="M176" i="3"/>
  <c r="N176" s="1"/>
  <c r="C146" i="11" s="1"/>
  <c r="E146" s="1"/>
  <c r="M150" i="3"/>
  <c r="N150" s="1"/>
  <c r="C124" i="11" s="1"/>
  <c r="E124" s="1"/>
  <c r="M141" i="3"/>
  <c r="M129"/>
  <c r="N129" s="1"/>
  <c r="C106" i="11" s="1"/>
  <c r="E106" s="1"/>
  <c r="M125" i="3"/>
  <c r="N125" s="1"/>
  <c r="C103" i="11" s="1"/>
  <c r="E103" s="1"/>
  <c r="M115" i="3"/>
  <c r="N115" s="1"/>
  <c r="C94" i="11" s="1"/>
  <c r="E94" s="1"/>
  <c r="M114" i="3"/>
  <c r="M107"/>
  <c r="N107" s="1"/>
  <c r="C87" i="11" s="1"/>
  <c r="E87" s="1"/>
  <c r="M106" i="3"/>
  <c r="M73"/>
  <c r="M59"/>
  <c r="M51"/>
  <c r="M47"/>
  <c r="M29"/>
  <c r="M19"/>
  <c r="M18"/>
  <c r="M10"/>
  <c r="G214" i="4"/>
  <c r="G204"/>
  <c r="G190"/>
  <c r="G180"/>
  <c r="G230"/>
  <c r="E226"/>
  <c r="E202"/>
  <c r="E28"/>
  <c r="E13"/>
  <c r="E239"/>
  <c r="E194"/>
  <c r="E174"/>
  <c r="E170"/>
  <c r="E166"/>
  <c r="E163"/>
  <c r="E159"/>
  <c r="E147"/>
  <c r="E143"/>
  <c r="E139"/>
  <c r="E135"/>
  <c r="E131"/>
  <c r="E127"/>
  <c r="E123"/>
  <c r="E119"/>
  <c r="E115"/>
  <c r="E111"/>
  <c r="E107"/>
  <c r="E96"/>
  <c r="E92"/>
  <c r="E88"/>
  <c r="E84"/>
  <c r="E80"/>
  <c r="E76"/>
  <c r="E68"/>
  <c r="E48"/>
  <c r="E44"/>
  <c r="G216"/>
  <c r="G192"/>
  <c r="E5"/>
  <c r="G25" i="8"/>
  <c r="G31"/>
  <c r="G29"/>
  <c r="M153" i="3"/>
  <c r="N153" s="1"/>
  <c r="C127" i="11" s="1"/>
  <c r="E127" s="1"/>
  <c r="M151" i="3"/>
  <c r="N151" s="1"/>
  <c r="C125" i="11" s="1"/>
  <c r="E125" s="1"/>
  <c r="M149" i="3"/>
  <c r="C130" i="11"/>
  <c r="E130" s="1"/>
  <c r="N141" i="3"/>
  <c r="C116" i="11" s="1"/>
  <c r="C154"/>
  <c r="E154" s="1"/>
  <c r="E199"/>
  <c r="M111" i="3"/>
  <c r="N111" s="1"/>
  <c r="C91" i="11"/>
  <c r="E91" s="1"/>
  <c r="G240" i="4"/>
  <c r="E237"/>
  <c r="E224"/>
  <c r="G188"/>
  <c r="E188"/>
  <c r="G182"/>
  <c r="G172"/>
  <c r="G169"/>
  <c r="E164"/>
  <c r="E161"/>
  <c r="G160"/>
  <c r="G157"/>
  <c r="E154"/>
  <c r="E148"/>
  <c r="E145"/>
  <c r="G142"/>
  <c r="G141"/>
  <c r="E138"/>
  <c r="E129"/>
  <c r="G126"/>
  <c r="G125"/>
  <c r="E122"/>
  <c r="E116"/>
  <c r="E113"/>
  <c r="G110"/>
  <c r="E106"/>
  <c r="E97"/>
  <c r="E94"/>
  <c r="G93"/>
  <c r="G90"/>
  <c r="E87"/>
  <c r="E81"/>
  <c r="G74"/>
  <c r="E71"/>
  <c r="E62"/>
  <c r="G61"/>
  <c r="G59"/>
  <c r="G58"/>
  <c r="E46"/>
  <c r="G45"/>
  <c r="G43"/>
  <c r="E43" s="1"/>
  <c r="E39"/>
  <c r="G33"/>
  <c r="E29"/>
  <c r="G26"/>
  <c r="G17"/>
  <c r="G16"/>
  <c r="E16"/>
  <c r="E17" i="9"/>
  <c r="M269" i="3"/>
  <c r="N269" s="1"/>
  <c r="C226" i="11" s="1"/>
  <c r="E226" s="1"/>
  <c r="E5" i="9"/>
  <c r="E19"/>
  <c r="B2" i="16"/>
  <c r="E3" i="9"/>
  <c r="B10" i="16"/>
  <c r="M243" i="3"/>
  <c r="N243" s="1"/>
  <c r="C204" i="11" s="1"/>
  <c r="E204" s="1"/>
  <c r="M213" i="3"/>
  <c r="N213" s="1"/>
  <c r="C178" i="11" s="1"/>
  <c r="E178" s="1"/>
  <c r="M162" i="3"/>
  <c r="M137"/>
  <c r="N137" s="1"/>
  <c r="C113" i="11" s="1"/>
  <c r="E113" s="1"/>
  <c r="M24" i="3"/>
  <c r="E25" i="9"/>
  <c r="B8" i="16"/>
  <c r="E37" i="9"/>
  <c r="B36" i="16"/>
  <c r="N187" i="3"/>
  <c r="C156" i="11" s="1"/>
  <c r="E156"/>
  <c r="M156" i="3"/>
  <c r="N156" s="1"/>
  <c r="C129" i="11"/>
  <c r="E129" s="1"/>
  <c r="N106" i="3"/>
  <c r="C86" i="11" s="1"/>
  <c r="E86" s="1"/>
  <c r="G217" i="4"/>
  <c r="G213"/>
  <c r="G205"/>
  <c r="G201"/>
  <c r="G186"/>
  <c r="G184"/>
  <c r="G181"/>
  <c r="G177"/>
  <c r="B7" i="16"/>
  <c r="E8" i="9"/>
  <c r="B9" i="16"/>
  <c r="E10" i="9"/>
  <c r="E28"/>
  <c r="F160" i="11"/>
  <c r="F158"/>
  <c r="B39" i="16"/>
  <c r="F234" i="11"/>
  <c r="F232"/>
  <c r="F230"/>
  <c r="E38" i="9"/>
  <c r="B37" i="16"/>
  <c r="F222" i="11"/>
  <c r="F220"/>
  <c r="F218"/>
  <c r="M271" i="3"/>
  <c r="N271" s="1"/>
  <c r="C228" i="11" s="1"/>
  <c r="E228" s="1"/>
  <c r="M128" i="3"/>
  <c r="N128" s="1"/>
  <c r="E8" i="10"/>
  <c r="E10"/>
  <c r="E12"/>
  <c r="E38"/>
  <c r="E40"/>
  <c r="E40" i="9"/>
  <c r="F39" i="11"/>
  <c r="F41"/>
  <c r="F43"/>
  <c r="F50"/>
  <c r="F52"/>
  <c r="F54"/>
  <c r="F62"/>
  <c r="F64"/>
  <c r="F66"/>
  <c r="F74"/>
  <c r="F76"/>
  <c r="F78"/>
  <c r="F135"/>
  <c r="F137"/>
  <c r="F139"/>
  <c r="F161"/>
  <c r="F221"/>
  <c r="F7"/>
  <c r="F231"/>
  <c r="F235"/>
  <c r="B26" i="16"/>
  <c r="F156" i="11"/>
  <c r="F154"/>
  <c r="F152"/>
  <c r="B40" i="16"/>
  <c r="F240" i="11"/>
  <c r="F238"/>
  <c r="F236"/>
  <c r="F216"/>
  <c r="F214"/>
  <c r="F212"/>
  <c r="E39" i="9"/>
  <c r="F228" i="11"/>
  <c r="F227"/>
  <c r="F226"/>
  <c r="F224"/>
  <c r="M274" i="3"/>
  <c r="M240"/>
  <c r="M219"/>
  <c r="N219" s="1"/>
  <c r="C183" i="11" s="1"/>
  <c r="E183" s="1"/>
  <c r="M124" i="3"/>
  <c r="N124" s="1"/>
  <c r="C102" i="11" s="1"/>
  <c r="E102" s="1"/>
  <c r="M68" i="3"/>
  <c r="M40"/>
  <c r="M54"/>
  <c r="C105" i="11"/>
  <c r="E105" s="1"/>
  <c r="C224"/>
  <c r="E224" s="1"/>
  <c r="F150" i="4"/>
  <c r="E197"/>
  <c r="G197"/>
  <c r="E152"/>
  <c r="G152"/>
  <c r="G189" i="8"/>
  <c r="G49"/>
  <c r="E49" s="1"/>
  <c r="E80"/>
  <c r="G80"/>
  <c r="E178"/>
  <c r="G178"/>
  <c r="G214"/>
  <c r="E214"/>
  <c r="G227"/>
  <c r="E227"/>
  <c r="G118" i="11"/>
  <c r="B118" i="4"/>
  <c r="F233" i="11"/>
  <c r="F234" i="8"/>
  <c r="F234" i="7"/>
  <c r="F232" i="5"/>
  <c r="F235"/>
  <c r="F234" i="4"/>
  <c r="F233" i="7"/>
  <c r="F230"/>
  <c r="F230" i="5"/>
  <c r="F232" i="8"/>
  <c r="F230" i="6"/>
  <c r="F234"/>
  <c r="F232" i="7"/>
  <c r="F231" i="5"/>
  <c r="F231" i="8"/>
  <c r="F231" i="6"/>
  <c r="F235" i="7"/>
  <c r="F235" i="8"/>
  <c r="F235" i="6"/>
  <c r="F234" i="5"/>
  <c r="F230" i="4"/>
  <c r="E4" i="3"/>
  <c r="F230" i="8"/>
  <c r="F231" i="4"/>
  <c r="F232" i="6"/>
  <c r="F231" i="7"/>
  <c r="F232" i="4"/>
  <c r="F222" i="7"/>
  <c r="F219" i="8"/>
  <c r="F223" i="11"/>
  <c r="F223" i="8"/>
  <c r="F218"/>
  <c r="F221" i="7"/>
  <c r="F218"/>
  <c r="F222" i="6"/>
  <c r="F222" i="8"/>
  <c r="F220" i="5"/>
  <c r="F218" i="4"/>
  <c r="F220" i="7"/>
  <c r="F221" i="8"/>
  <c r="F218" i="6"/>
  <c r="F223" i="7"/>
  <c r="F219" i="4"/>
  <c r="F223" i="5"/>
  <c r="F220" i="4"/>
  <c r="F220" i="8"/>
  <c r="F221" i="6"/>
  <c r="F221" i="5"/>
  <c r="F218"/>
  <c r="F221" i="4"/>
  <c r="F223" i="6"/>
  <c r="F219"/>
  <c r="F219" i="7"/>
  <c r="F222" i="4"/>
  <c r="C4" i="3"/>
  <c r="E201" i="8"/>
  <c r="G201"/>
  <c r="G88" i="11"/>
  <c r="B88" i="6"/>
  <c r="B88" i="4"/>
  <c r="B88" i="7"/>
  <c r="B88" i="8"/>
  <c r="B88" i="5"/>
  <c r="B108" i="7"/>
  <c r="B108" i="5"/>
  <c r="G108" i="11"/>
  <c r="B108" i="8"/>
  <c r="B108" i="4"/>
  <c r="F151" i="8"/>
  <c r="F151" i="6"/>
  <c r="F147" i="7"/>
  <c r="F150" i="6"/>
  <c r="F148" i="5"/>
  <c r="F147"/>
  <c r="F149" i="7"/>
  <c r="F146"/>
  <c r="F149" i="8"/>
  <c r="F148" i="6"/>
  <c r="F151" i="5"/>
  <c r="F149" i="4"/>
  <c r="F151" i="11"/>
  <c r="F146" i="5"/>
  <c r="F147" i="11"/>
  <c r="F147" i="6"/>
  <c r="F150" i="5"/>
  <c r="E26" i="10"/>
  <c r="F148" i="7"/>
  <c r="F148" i="4"/>
  <c r="F148" i="8"/>
  <c r="F146" i="6"/>
  <c r="F151" i="7"/>
  <c r="F149" i="5"/>
  <c r="F151" i="4"/>
  <c r="C3" i="3"/>
  <c r="F146" i="4"/>
  <c r="F147"/>
  <c r="F149" i="11"/>
  <c r="F233" i="4"/>
  <c r="E195"/>
  <c r="G175" i="8"/>
  <c r="E34"/>
  <c r="G72"/>
  <c r="E72" s="1"/>
  <c r="E84"/>
  <c r="G84"/>
  <c r="G182"/>
  <c r="E182"/>
  <c r="B49"/>
  <c r="B49" i="4"/>
  <c r="G49" i="11"/>
  <c r="B49" i="6"/>
  <c r="B49" i="7"/>
  <c r="B49" i="5"/>
  <c r="G61" i="11"/>
  <c r="B61" i="7"/>
  <c r="B61" i="4"/>
  <c r="G78" i="11"/>
  <c r="B78" i="6"/>
  <c r="B78" i="7"/>
  <c r="G165" i="8"/>
  <c r="E165"/>
  <c r="F150" i="7"/>
  <c r="E89" i="4"/>
  <c r="G89"/>
  <c r="G33" i="8"/>
  <c r="E33"/>
  <c r="G162"/>
  <c r="E162"/>
  <c r="G40" i="11"/>
  <c r="B40" i="5"/>
  <c r="B40" i="8"/>
  <c r="B40" i="7"/>
  <c r="B40" i="6"/>
  <c r="B40" i="4"/>
  <c r="F158" i="6"/>
  <c r="F161" i="8"/>
  <c r="F158"/>
  <c r="F159" i="5"/>
  <c r="F159" i="11"/>
  <c r="F163" i="6"/>
  <c r="F158" i="5"/>
  <c r="F160" i="8"/>
  <c r="F162" i="6"/>
  <c r="F163" i="8"/>
  <c r="F161" i="6"/>
  <c r="F160" i="7"/>
  <c r="F163" i="5"/>
  <c r="F159" i="4"/>
  <c r="F163" i="7"/>
  <c r="F160" i="6"/>
  <c r="F162" i="5"/>
  <c r="F163" i="4"/>
  <c r="E3" i="3"/>
  <c r="F159" i="8"/>
  <c r="F161" i="5"/>
  <c r="E28" i="10"/>
  <c r="F162" i="8"/>
  <c r="F159" i="6"/>
  <c r="F159" i="7"/>
  <c r="F162"/>
  <c r="F160" i="5"/>
  <c r="B27" i="16"/>
  <c r="G32" i="4"/>
  <c r="E32"/>
  <c r="G109"/>
  <c r="E151"/>
  <c r="F146" i="8"/>
  <c r="G137"/>
  <c r="E137"/>
  <c r="G149"/>
  <c r="E149"/>
  <c r="G18" i="11"/>
  <c r="B18" i="8"/>
  <c r="B18" i="6"/>
  <c r="B18" i="5"/>
  <c r="B18" i="4"/>
  <c r="B18" i="7"/>
  <c r="G29" i="11"/>
  <c r="B29" i="6"/>
  <c r="B29" i="5"/>
  <c r="B29" i="8"/>
  <c r="B51" i="5"/>
  <c r="B51" i="8"/>
  <c r="G63" i="11"/>
  <c r="B63" i="7"/>
  <c r="B63" i="8"/>
  <c r="B101"/>
  <c r="B101" i="7"/>
  <c r="G101" i="11"/>
  <c r="B101" i="4"/>
  <c r="E11" i="9"/>
  <c r="F58" i="6"/>
  <c r="F58" i="5"/>
  <c r="F59" i="7"/>
  <c r="F59" i="4"/>
  <c r="F61" i="8"/>
  <c r="F61" i="4"/>
  <c r="F57" i="8"/>
  <c r="F58"/>
  <c r="F57" i="6"/>
  <c r="F60" i="7"/>
  <c r="F60" i="11"/>
  <c r="F60" i="8"/>
  <c r="F56"/>
  <c r="F61" i="7"/>
  <c r="F57" i="4"/>
  <c r="F59" i="6"/>
  <c r="F57" i="7"/>
  <c r="F59" i="5"/>
  <c r="F56" i="4"/>
  <c r="F59" i="8"/>
  <c r="F56" i="6"/>
  <c r="F56" i="5"/>
  <c r="F58" i="7"/>
  <c r="F58" i="4"/>
  <c r="F61" i="6"/>
  <c r="F56" i="7"/>
  <c r="F61" i="5"/>
  <c r="F146" i="11"/>
  <c r="F149" i="6"/>
  <c r="F233"/>
  <c r="E203" i="4"/>
  <c r="G203"/>
  <c r="G19" i="8"/>
  <c r="E19" s="1"/>
  <c r="E31"/>
  <c r="G123"/>
  <c r="E123"/>
  <c r="G7" i="11"/>
  <c r="B7" i="6"/>
  <c r="B7" i="7"/>
  <c r="B7" i="5"/>
  <c r="B42" i="6"/>
  <c r="B42" i="8"/>
  <c r="G102" i="11"/>
  <c r="B102" i="7"/>
  <c r="B102" i="6"/>
  <c r="B102" i="4"/>
  <c r="B102" i="8"/>
  <c r="F148" i="11"/>
  <c r="F147" i="8"/>
  <c r="G150"/>
  <c r="G121"/>
  <c r="E121"/>
  <c r="G135"/>
  <c r="E135"/>
  <c r="B20" i="7"/>
  <c r="B20" i="5"/>
  <c r="G31" i="11"/>
  <c r="B31" i="8"/>
  <c r="B31" i="5"/>
  <c r="B12" i="16"/>
  <c r="F73" i="11"/>
  <c r="F72" i="8"/>
  <c r="F68" i="7"/>
  <c r="F72" i="11"/>
  <c r="F73" i="8"/>
  <c r="F69" i="5"/>
  <c r="F70" i="4"/>
  <c r="F70" i="11"/>
  <c r="E13" i="10"/>
  <c r="F68" i="11"/>
  <c r="F73" i="6"/>
  <c r="F70" i="5"/>
  <c r="F73"/>
  <c r="F69" i="4"/>
  <c r="F70" i="8"/>
  <c r="F72" i="6"/>
  <c r="F69" i="7"/>
  <c r="F72"/>
  <c r="F69" i="8"/>
  <c r="F68"/>
  <c r="F71" i="6"/>
  <c r="F70" i="7"/>
  <c r="F72" i="5"/>
  <c r="F72" i="4"/>
  <c r="N1" i="3"/>
  <c r="F70" i="6"/>
  <c r="F73" i="7"/>
  <c r="F150" i="11"/>
  <c r="G42" i="4"/>
  <c r="E42" s="1"/>
  <c r="F223"/>
  <c r="F219" i="5"/>
  <c r="B108" i="6"/>
  <c r="G25" i="4"/>
  <c r="G133" i="8"/>
  <c r="E133"/>
  <c r="G9" i="11"/>
  <c r="B9" i="8"/>
  <c r="B9" i="5"/>
  <c r="B9" i="6"/>
  <c r="B9" i="4"/>
  <c r="B9" i="7"/>
  <c r="B132" i="6"/>
  <c r="B132" i="7"/>
  <c r="G132" i="11"/>
  <c r="B132" i="4"/>
  <c r="B132" i="5"/>
  <c r="F162" i="4"/>
  <c r="F161"/>
  <c r="F161" i="7"/>
  <c r="F233" i="8"/>
  <c r="F219" i="11"/>
  <c r="B94" i="8"/>
  <c r="B94" i="7"/>
  <c r="B94" i="5"/>
  <c r="G94" i="11"/>
  <c r="B94" i="6"/>
  <c r="G146" i="11"/>
  <c r="B146" i="8"/>
  <c r="B146" i="7"/>
  <c r="B146" i="4"/>
  <c r="B146" i="5"/>
  <c r="B146" i="6"/>
  <c r="G158" i="11"/>
  <c r="B158" i="6"/>
  <c r="B158" i="7"/>
  <c r="G170" i="11"/>
  <c r="B170" i="7"/>
  <c r="B170" i="6"/>
  <c r="B170" i="8"/>
  <c r="B170" i="5"/>
  <c r="B170" i="4"/>
  <c r="G182" i="11"/>
  <c r="B182" i="8"/>
  <c r="G194" i="11"/>
  <c r="B194" i="5"/>
  <c r="B194" i="4"/>
  <c r="B194" i="7"/>
  <c r="G206" i="11"/>
  <c r="B206" i="7"/>
  <c r="B206" i="4"/>
  <c r="G218" i="11"/>
  <c r="B218" i="6"/>
  <c r="B218" i="5"/>
  <c r="G230" i="11"/>
  <c r="B230" i="6"/>
  <c r="B230" i="4"/>
  <c r="B230" i="8"/>
  <c r="G2" i="11"/>
  <c r="B2" i="8"/>
  <c r="B2" i="7"/>
  <c r="B2" i="6"/>
  <c r="B2" i="5"/>
  <c r="G135" i="11"/>
  <c r="B135" i="4"/>
  <c r="B135" i="6"/>
  <c r="B135" i="7"/>
  <c r="B135" i="8"/>
  <c r="B135" i="5"/>
  <c r="L8" i="3"/>
  <c r="F160" i="4"/>
  <c r="F220" i="6"/>
  <c r="G106" i="8"/>
  <c r="E106"/>
  <c r="G95" i="11"/>
  <c r="B95" i="8"/>
  <c r="B95" i="6"/>
  <c r="F158" i="4"/>
  <c r="F222" i="5"/>
  <c r="E101" i="4"/>
  <c r="G9" i="8"/>
  <c r="E9" s="1"/>
  <c r="G105"/>
  <c r="E105"/>
  <c r="E216"/>
  <c r="G216"/>
  <c r="G229"/>
  <c r="E229"/>
  <c r="F163" i="11"/>
  <c r="B116" i="7"/>
  <c r="G116" i="11"/>
  <c r="B116" i="6"/>
  <c r="B116" i="4"/>
  <c r="B116" i="8"/>
  <c r="B116" i="5"/>
  <c r="E26" i="9"/>
  <c r="B25" i="16"/>
  <c r="E55" i="4"/>
  <c r="G158"/>
  <c r="F158" i="7"/>
  <c r="E235" i="4"/>
  <c r="G235"/>
  <c r="B118" i="8"/>
  <c r="E88"/>
  <c r="G88"/>
  <c r="E102"/>
  <c r="G102"/>
  <c r="G236"/>
  <c r="E236"/>
  <c r="B86" i="7"/>
  <c r="B86" i="6"/>
  <c r="L97" i="3"/>
  <c r="N97" s="1"/>
  <c r="C79" i="11" s="1"/>
  <c r="E79" s="1"/>
  <c r="L94" i="3"/>
  <c r="N94" s="1"/>
  <c r="C76" i="11" s="1"/>
  <c r="E76" s="1"/>
  <c r="L87" i="3"/>
  <c r="L83"/>
  <c r="L80"/>
  <c r="L76"/>
  <c r="L73"/>
  <c r="L69"/>
  <c r="L66"/>
  <c r="N66" s="1"/>
  <c r="C52" i="11" s="1"/>
  <c r="E52" s="1"/>
  <c r="L62" i="3"/>
  <c r="L59"/>
  <c r="L55"/>
  <c r="L52"/>
  <c r="N52" s="1"/>
  <c r="C40" i="11" s="1"/>
  <c r="E40" s="1"/>
  <c r="L48" i="3"/>
  <c r="N48" s="1"/>
  <c r="C37" i="11" s="1"/>
  <c r="E37" s="1"/>
  <c r="L45" i="3"/>
  <c r="N45" s="1"/>
  <c r="C34" i="11" s="1"/>
  <c r="E34" s="1"/>
  <c r="L41" i="3"/>
  <c r="N41"/>
  <c r="C31" i="11" s="1"/>
  <c r="E31" s="1"/>
  <c r="L38" i="3"/>
  <c r="L34"/>
  <c r="L31"/>
  <c r="L27"/>
  <c r="L24"/>
  <c r="N24" s="1"/>
  <c r="C16" i="11"/>
  <c r="E16" s="1"/>
  <c r="L13" i="3"/>
  <c r="L10"/>
  <c r="N255"/>
  <c r="C214" i="11" s="1"/>
  <c r="E214" s="1"/>
  <c r="E105" i="4"/>
  <c r="G240" i="8"/>
  <c r="E62"/>
  <c r="E133" i="4"/>
  <c r="G118"/>
  <c r="E230" i="8"/>
  <c r="E173"/>
  <c r="E114"/>
  <c r="G104"/>
  <c r="E28"/>
  <c r="G199" i="4"/>
  <c r="E168"/>
  <c r="G104"/>
  <c r="G82" i="8"/>
  <c r="E25"/>
  <c r="E78"/>
  <c r="G198" i="4"/>
  <c r="E17"/>
  <c r="L96" i="3"/>
  <c r="L93"/>
  <c r="L89"/>
  <c r="N89" s="1"/>
  <c r="C72" i="11" s="1"/>
  <c r="E72" s="1"/>
  <c r="L86" i="3"/>
  <c r="L82"/>
  <c r="N82" s="1"/>
  <c r="C66" i="11" s="1"/>
  <c r="E66" s="1"/>
  <c r="L79" i="3"/>
  <c r="L75"/>
  <c r="L72"/>
  <c r="L68"/>
  <c r="N68" s="1"/>
  <c r="C54" i="11" s="1"/>
  <c r="E54" s="1"/>
  <c r="L65" i="3"/>
  <c r="L61"/>
  <c r="N61"/>
  <c r="C48" i="11" s="1"/>
  <c r="E48" s="1"/>
  <c r="L58" i="3"/>
  <c r="L54"/>
  <c r="N54" s="1"/>
  <c r="C42" i="11" s="1"/>
  <c r="E42" s="1"/>
  <c r="L51" i="3"/>
  <c r="N51" s="1"/>
  <c r="C39" i="11" s="1"/>
  <c r="E39" s="1"/>
  <c r="L47" i="3"/>
  <c r="N47" s="1"/>
  <c r="C36" i="11"/>
  <c r="E36" s="1"/>
  <c r="L44" i="3"/>
  <c r="L40"/>
  <c r="N40" s="1"/>
  <c r="C30" i="11" s="1"/>
  <c r="E30" s="1"/>
  <c r="L37" i="3"/>
  <c r="L33"/>
  <c r="N33" s="1"/>
  <c r="C24" i="11"/>
  <c r="E24" s="1"/>
  <c r="L30" i="3"/>
  <c r="L26"/>
  <c r="N26" s="1"/>
  <c r="C18" i="11" s="1"/>
  <c r="E18" s="1"/>
  <c r="L23" i="3"/>
  <c r="N23"/>
  <c r="C15" i="11" s="1"/>
  <c r="E15" s="1"/>
  <c r="L19" i="3"/>
  <c r="N19" s="1"/>
  <c r="C12" i="11" s="1"/>
  <c r="E12" s="1"/>
  <c r="L16" i="3"/>
  <c r="L12"/>
  <c r="L9"/>
  <c r="G225" i="4"/>
  <c r="G167"/>
  <c r="G117"/>
  <c r="G198" i="8"/>
  <c r="E131"/>
  <c r="E76"/>
  <c r="E21" i="9"/>
  <c r="M191" i="3"/>
  <c r="N191" s="1"/>
  <c r="C159" i="11" s="1"/>
  <c r="E159" s="1"/>
  <c r="M184" i="3"/>
  <c r="N184" s="1"/>
  <c r="C153" i="11" s="1"/>
  <c r="E153" s="1"/>
  <c r="M235" i="3"/>
  <c r="N235" s="1"/>
  <c r="C197" i="11" s="1"/>
  <c r="E197" s="1"/>
  <c r="M218" i="3"/>
  <c r="N218" s="1"/>
  <c r="M214"/>
  <c r="N214" s="1"/>
  <c r="C179" i="11"/>
  <c r="E179" s="1"/>
  <c r="L95" i="3"/>
  <c r="L92"/>
  <c r="L88"/>
  <c r="L85"/>
  <c r="L81"/>
  <c r="L78"/>
  <c r="L74"/>
  <c r="L71"/>
  <c r="N71" s="1"/>
  <c r="L67"/>
  <c r="L64"/>
  <c r="L60"/>
  <c r="L57"/>
  <c r="N57" s="1"/>
  <c r="C44" i="11" s="1"/>
  <c r="E44" s="1"/>
  <c r="L53" i="3"/>
  <c r="L50"/>
  <c r="L46"/>
  <c r="L43"/>
  <c r="L39"/>
  <c r="L36"/>
  <c r="L32"/>
  <c r="L29"/>
  <c r="L25"/>
  <c r="L22"/>
  <c r="N22" s="1"/>
  <c r="C14" i="11" s="1"/>
  <c r="E14" s="1"/>
  <c r="L18" i="3"/>
  <c r="N18"/>
  <c r="C11" i="11" s="1"/>
  <c r="E11" s="1"/>
  <c r="L11" i="3"/>
  <c r="G210" i="4"/>
  <c r="G120"/>
  <c r="B28" i="16"/>
  <c r="E43" i="8"/>
  <c r="E58"/>
  <c r="M216" i="3"/>
  <c r="N216" s="1"/>
  <c r="C181" i="11" s="1"/>
  <c r="E181" s="1"/>
  <c r="M230" i="3"/>
  <c r="N230" s="1"/>
  <c r="M244"/>
  <c r="N244" s="1"/>
  <c r="C205" i="11" s="1"/>
  <c r="E205" s="1"/>
  <c r="M258" i="3"/>
  <c r="N258" s="1"/>
  <c r="C217" i="11" s="1"/>
  <c r="E217" s="1"/>
  <c r="M272" i="3"/>
  <c r="N272" s="1"/>
  <c r="C229" i="11" s="1"/>
  <c r="E229" s="1"/>
  <c r="M286" i="3"/>
  <c r="N286" s="1"/>
  <c r="C241" i="11" s="1"/>
  <c r="E241" s="1"/>
  <c r="E60" i="8"/>
  <c r="E56"/>
  <c r="E74"/>
  <c r="E18"/>
  <c r="E16"/>
  <c r="G14"/>
  <c r="E14" s="1"/>
  <c r="E29"/>
  <c r="G3"/>
  <c r="E3" s="1"/>
  <c r="E2"/>
  <c r="G42"/>
  <c r="E42" s="1"/>
  <c r="E66"/>
  <c r="E64"/>
  <c r="E70"/>
  <c r="E55"/>
  <c r="M60" i="3"/>
  <c r="E61" i="4"/>
  <c r="E59"/>
  <c r="E58"/>
  <c r="G57"/>
  <c r="E34"/>
  <c r="E33"/>
  <c r="M62" i="3"/>
  <c r="E45" i="4"/>
  <c r="E70"/>
  <c r="G69"/>
  <c r="E69"/>
  <c r="M53" i="3"/>
  <c r="N53" s="1"/>
  <c r="C41" i="11" s="1"/>
  <c r="E41" s="1"/>
  <c r="M50" i="3"/>
  <c r="E66" i="4"/>
  <c r="E63"/>
  <c r="E77"/>
  <c r="E74"/>
  <c r="E30"/>
  <c r="E26"/>
  <c r="E15"/>
  <c r="G50"/>
  <c r="E50"/>
  <c r="E41"/>
  <c r="E4"/>
  <c r="E2"/>
  <c r="F13" i="11"/>
  <c r="F12"/>
  <c r="F10"/>
  <c r="F67"/>
  <c r="F65"/>
  <c r="F63"/>
  <c r="B60" i="5"/>
  <c r="B60" i="6"/>
  <c r="G60" i="11"/>
  <c r="B60" i="8"/>
  <c r="B60" i="7"/>
  <c r="E11" i="10"/>
  <c r="F61" i="11"/>
  <c r="F59"/>
  <c r="F58"/>
  <c r="F57"/>
  <c r="F56"/>
  <c r="B52" i="8"/>
  <c r="F40" i="11"/>
  <c r="E7" i="10"/>
  <c r="F36" i="11"/>
  <c r="F35"/>
  <c r="F32"/>
  <c r="E7" i="9"/>
  <c r="F30" i="11"/>
  <c r="F28"/>
  <c r="F27"/>
  <c r="F26"/>
  <c r="E6" i="10"/>
  <c r="F6" i="11"/>
  <c r="C193"/>
  <c r="E193" s="1"/>
  <c r="C122"/>
  <c r="E122" s="1"/>
  <c r="N31" i="3"/>
  <c r="C22" i="11" s="1"/>
  <c r="E22" s="1"/>
  <c r="N285" i="3"/>
  <c r="C240" i="11" s="1"/>
  <c r="E240" s="1"/>
  <c r="C200"/>
  <c r="E200" s="1"/>
  <c r="N92" i="3"/>
  <c r="E116" i="11"/>
  <c r="N233" i="3"/>
  <c r="C140" i="11"/>
  <c r="E140" s="1"/>
  <c r="N260" i="3"/>
  <c r="N113"/>
  <c r="N134"/>
  <c r="G21" i="8"/>
  <c r="E21"/>
  <c r="G71"/>
  <c r="E71"/>
  <c r="E120"/>
  <c r="G120"/>
  <c r="E149" i="4"/>
  <c r="G149"/>
  <c r="E158" i="8"/>
  <c r="G158"/>
  <c r="G203"/>
  <c r="E203"/>
  <c r="E73" i="4"/>
  <c r="G7"/>
  <c r="E7" s="1"/>
  <c r="G75" i="8"/>
  <c r="E75" s="1"/>
  <c r="E124"/>
  <c r="G124"/>
  <c r="B69"/>
  <c r="B69" i="4"/>
  <c r="B69" i="5"/>
  <c r="B69" i="7"/>
  <c r="G69" i="11"/>
  <c r="B69" i="6"/>
  <c r="F194" i="5"/>
  <c r="E212" i="8"/>
  <c r="G212"/>
  <c r="B137" i="6"/>
  <c r="B137" i="8"/>
  <c r="B137" i="4"/>
  <c r="B137" i="5"/>
  <c r="B137" i="7"/>
  <c r="G137" i="11"/>
  <c r="B150" i="7"/>
  <c r="B150" i="6"/>
  <c r="B150" i="5"/>
  <c r="G150" i="11"/>
  <c r="B162" i="4"/>
  <c r="B162" i="7"/>
  <c r="B162" i="8"/>
  <c r="B162" i="6"/>
  <c r="G162" i="11"/>
  <c r="B162" i="5"/>
  <c r="B174" i="4"/>
  <c r="B174" i="8"/>
  <c r="B174" i="6"/>
  <c r="B174" i="5"/>
  <c r="G174" i="11"/>
  <c r="B186" i="8"/>
  <c r="B186" i="6"/>
  <c r="B186" i="5"/>
  <c r="B186" i="7"/>
  <c r="B186" i="4"/>
  <c r="G186" i="11"/>
  <c r="B198" i="4"/>
  <c r="B198" i="5"/>
  <c r="B198" i="7"/>
  <c r="B198" i="6"/>
  <c r="G198" i="11"/>
  <c r="B198" i="8"/>
  <c r="B210" i="5"/>
  <c r="B210" i="7"/>
  <c r="B210" i="6"/>
  <c r="B210" i="8"/>
  <c r="B210" i="4"/>
  <c r="G210" i="11"/>
  <c r="B222" i="6"/>
  <c r="B222" i="5"/>
  <c r="B222" i="8"/>
  <c r="B222" i="7"/>
  <c r="G222" i="11"/>
  <c r="B222" i="4"/>
  <c r="B234"/>
  <c r="B234" i="8"/>
  <c r="B234" i="5"/>
  <c r="B234" i="6"/>
  <c r="B234" i="7"/>
  <c r="G234" i="11"/>
  <c r="K152" i="5"/>
  <c r="L152" s="1"/>
  <c r="J152" s="1"/>
  <c r="K158"/>
  <c r="L158" s="1"/>
  <c r="K90"/>
  <c r="L90" s="1"/>
  <c r="J90" s="1"/>
  <c r="E108" i="4"/>
  <c r="G108"/>
  <c r="G53"/>
  <c r="E53"/>
  <c r="E91" i="8"/>
  <c r="G91"/>
  <c r="E134"/>
  <c r="G134"/>
  <c r="E168"/>
  <c r="G168"/>
  <c r="G220"/>
  <c r="E220"/>
  <c r="M96" i="3"/>
  <c r="N96"/>
  <c r="C78" i="11" s="1"/>
  <c r="E78" s="1"/>
  <c r="G46" i="8"/>
  <c r="E46"/>
  <c r="K191" i="6"/>
  <c r="L191" s="1"/>
  <c r="M191" s="1"/>
  <c r="K88"/>
  <c r="L88" s="1"/>
  <c r="K241"/>
  <c r="L241" s="1"/>
  <c r="K15"/>
  <c r="L15" s="1"/>
  <c r="M15" s="1"/>
  <c r="K79"/>
  <c r="L79" s="1"/>
  <c r="K176"/>
  <c r="L176" s="1"/>
  <c r="M176" s="1"/>
  <c r="K189"/>
  <c r="L189" s="1"/>
  <c r="K26"/>
  <c r="L26" s="1"/>
  <c r="K60"/>
  <c r="L60" s="1"/>
  <c r="J60" s="1"/>
  <c r="K144"/>
  <c r="L144" s="1"/>
  <c r="M144" s="1"/>
  <c r="K212"/>
  <c r="L212" s="1"/>
  <c r="K149"/>
  <c r="L149" s="1"/>
  <c r="M149" s="1"/>
  <c r="K50"/>
  <c r="L50" s="1"/>
  <c r="M50" s="1"/>
  <c r="K25"/>
  <c r="L25" s="1"/>
  <c r="K89"/>
  <c r="L89" s="1"/>
  <c r="M89" s="1"/>
  <c r="K232"/>
  <c r="L232" s="1"/>
  <c r="J232" s="1"/>
  <c r="K127"/>
  <c r="L127" s="1"/>
  <c r="K28"/>
  <c r="L28" s="1"/>
  <c r="K58"/>
  <c r="L58" s="1"/>
  <c r="K122"/>
  <c r="L122" s="1"/>
  <c r="K142"/>
  <c r="L142" s="1"/>
  <c r="M142" s="1"/>
  <c r="K164"/>
  <c r="L164" s="1"/>
  <c r="J164" s="1"/>
  <c r="K206"/>
  <c r="L206" s="1"/>
  <c r="M206" s="1"/>
  <c r="K233"/>
  <c r="L233" s="1"/>
  <c r="J233" s="1"/>
  <c r="K151"/>
  <c r="L151" s="1"/>
  <c r="M151" s="1"/>
  <c r="K104"/>
  <c r="L104" s="1"/>
  <c r="J104" s="1"/>
  <c r="K52"/>
  <c r="L52" s="1"/>
  <c r="J52" s="1"/>
  <c r="K7"/>
  <c r="L7" s="1"/>
  <c r="K23"/>
  <c r="L23" s="1"/>
  <c r="J23" s="1"/>
  <c r="K47"/>
  <c r="L47" s="1"/>
  <c r="K87"/>
  <c r="L87" s="1"/>
  <c r="J87" s="1"/>
  <c r="K111"/>
  <c r="L111" s="1"/>
  <c r="K201"/>
  <c r="L201" s="1"/>
  <c r="M201" s="1"/>
  <c r="K185"/>
  <c r="L185" s="1"/>
  <c r="J185" s="1"/>
  <c r="K117"/>
  <c r="L117" s="1"/>
  <c r="M117" s="1"/>
  <c r="K82"/>
  <c r="L82" s="1"/>
  <c r="J82" s="1"/>
  <c r="K18"/>
  <c r="L18" s="1"/>
  <c r="M18" s="1"/>
  <c r="K220"/>
  <c r="L220" s="1"/>
  <c r="M220" s="1"/>
  <c r="K67"/>
  <c r="L67" s="1"/>
  <c r="M67" s="1"/>
  <c r="K140"/>
  <c r="L140" s="1"/>
  <c r="M140" s="1"/>
  <c r="K162"/>
  <c r="L162" s="1"/>
  <c r="M162" s="1"/>
  <c r="K205"/>
  <c r="L205" s="1"/>
  <c r="M205" s="1"/>
  <c r="K215"/>
  <c r="L215" s="1"/>
  <c r="M215" s="1"/>
  <c r="K229"/>
  <c r="L229" s="1"/>
  <c r="M229" s="1"/>
  <c r="K106"/>
  <c r="L106" s="1"/>
  <c r="K9"/>
  <c r="L9" s="1"/>
  <c r="J9" s="1"/>
  <c r="K33"/>
  <c r="L33" s="1"/>
  <c r="J33" s="1"/>
  <c r="K109"/>
  <c r="L109" s="1"/>
  <c r="M109" s="1"/>
  <c r="E13" i="8"/>
  <c r="G13"/>
  <c r="E95"/>
  <c r="G95"/>
  <c r="G11" i="11"/>
  <c r="B11" i="6"/>
  <c r="B11" i="7"/>
  <c r="B11" i="4"/>
  <c r="B11" i="8"/>
  <c r="B11" i="5"/>
  <c r="G238" i="4"/>
  <c r="E238"/>
  <c r="E103"/>
  <c r="G103"/>
  <c r="G18"/>
  <c r="E18" s="1"/>
  <c r="E144" i="8"/>
  <c r="G144"/>
  <c r="E172"/>
  <c r="G172"/>
  <c r="F51" i="6"/>
  <c r="F50" i="5"/>
  <c r="F54"/>
  <c r="F52" i="4"/>
  <c r="F54" i="7"/>
  <c r="F52" i="6"/>
  <c r="F55" i="5"/>
  <c r="F50" i="8"/>
  <c r="F51"/>
  <c r="F51" i="7"/>
  <c r="F52" i="8"/>
  <c r="F53" i="6"/>
  <c r="F55" i="4"/>
  <c r="K1" i="3"/>
  <c r="F53" i="7"/>
  <c r="F51" i="4"/>
  <c r="F53" i="8"/>
  <c r="F54" i="6"/>
  <c r="F50" i="7"/>
  <c r="F55"/>
  <c r="F50" i="4"/>
  <c r="F55" i="8"/>
  <c r="F54"/>
  <c r="F55" i="6"/>
  <c r="F51" i="11"/>
  <c r="F52" i="5"/>
  <c r="F54" i="4"/>
  <c r="F53" i="11"/>
  <c r="F50" i="6"/>
  <c r="F51" i="5"/>
  <c r="F53"/>
  <c r="K161"/>
  <c r="L161" s="1"/>
  <c r="M161" s="1"/>
  <c r="K220"/>
  <c r="L220" s="1"/>
  <c r="J220" s="1"/>
  <c r="K33"/>
  <c r="L33" s="1"/>
  <c r="M33" s="1"/>
  <c r="K128" i="6"/>
  <c r="L128" s="1"/>
  <c r="J128" s="1"/>
  <c r="K43"/>
  <c r="L43" s="1"/>
  <c r="M43" s="1"/>
  <c r="K57"/>
  <c r="L57" s="1"/>
  <c r="M57" s="1"/>
  <c r="K155"/>
  <c r="L155" s="1"/>
  <c r="J155" s="1"/>
  <c r="G51" i="8"/>
  <c r="E51" s="1"/>
  <c r="E186"/>
  <c r="G186"/>
  <c r="M160" i="3"/>
  <c r="N160" s="1"/>
  <c r="C133" i="11" s="1"/>
  <c r="E133" s="1"/>
  <c r="M132" i="3"/>
  <c r="N132" s="1"/>
  <c r="C109" i="11" s="1"/>
  <c r="E109" s="1"/>
  <c r="G17" i="8"/>
  <c r="E17" s="1"/>
  <c r="E99"/>
  <c r="G99"/>
  <c r="B144" i="4"/>
  <c r="B144" i="7"/>
  <c r="B144" i="5"/>
  <c r="B144" i="6"/>
  <c r="G144" i="11"/>
  <c r="B156" i="7"/>
  <c r="B156" i="4"/>
  <c r="B156" i="8"/>
  <c r="B156" i="6"/>
  <c r="G156" i="11"/>
  <c r="B156" i="5"/>
  <c r="B168" i="4"/>
  <c r="B168" i="5"/>
  <c r="B168" i="8"/>
  <c r="B168" i="7"/>
  <c r="B168" i="6"/>
  <c r="G168" i="11"/>
  <c r="B180" i="6"/>
  <c r="B180" i="5"/>
  <c r="B180" i="8"/>
  <c r="B180" i="7"/>
  <c r="B180" i="4"/>
  <c r="G180" i="11"/>
  <c r="B192" i="5"/>
  <c r="B192" i="7"/>
  <c r="B192" i="8"/>
  <c r="B192" i="6"/>
  <c r="G192" i="11"/>
  <c r="B204" i="4"/>
  <c r="B204" i="8"/>
  <c r="B204" i="7"/>
  <c r="G204" i="11"/>
  <c r="B204" i="6"/>
  <c r="B216" i="8"/>
  <c r="B216" i="7"/>
  <c r="B216" i="4"/>
  <c r="B216" i="6"/>
  <c r="B216" i="5"/>
  <c r="G216" i="11"/>
  <c r="B228" i="5"/>
  <c r="B228" i="4"/>
  <c r="B228" i="7"/>
  <c r="G228" i="11"/>
  <c r="B228" i="8"/>
  <c r="B228" i="6"/>
  <c r="B240" i="5"/>
  <c r="B240" i="8"/>
  <c r="B240" i="4"/>
  <c r="B240" i="6"/>
  <c r="G240" i="11"/>
  <c r="B240" i="7"/>
  <c r="F199" i="11"/>
  <c r="F194" i="8"/>
  <c r="F199" i="5"/>
  <c r="F195" i="6"/>
  <c r="F194" i="7"/>
  <c r="F199" i="8"/>
  <c r="F195"/>
  <c r="F195" i="5"/>
  <c r="F199" i="4"/>
  <c r="F197" i="6"/>
  <c r="F199" i="7"/>
  <c r="F198" i="4"/>
  <c r="K3" i="3"/>
  <c r="F197" i="4"/>
  <c r="E34" i="9"/>
  <c r="F196" i="8"/>
  <c r="F197" i="7"/>
  <c r="F196" i="5"/>
  <c r="F196" i="4"/>
  <c r="F195"/>
  <c r="F194" i="11"/>
  <c r="F199" i="6"/>
  <c r="F195" i="7"/>
  <c r="F195" i="11"/>
  <c r="E34" i="10"/>
  <c r="F197" i="8"/>
  <c r="F194" i="6"/>
  <c r="F196"/>
  <c r="F197" i="5"/>
  <c r="F196" i="11"/>
  <c r="F198" i="7"/>
  <c r="B33" i="16"/>
  <c r="F197" i="11"/>
  <c r="F198" i="6"/>
  <c r="F194" i="4"/>
  <c r="G215"/>
  <c r="E215"/>
  <c r="G67" i="8"/>
  <c r="E67" s="1"/>
  <c r="E110"/>
  <c r="G110"/>
  <c r="E148"/>
  <c r="G148"/>
  <c r="E194"/>
  <c r="G194"/>
  <c r="E187" i="4"/>
  <c r="E165"/>
  <c r="E13" i="9"/>
  <c r="E222" i="4"/>
  <c r="E211"/>
  <c r="G200"/>
  <c r="G176"/>
  <c r="E150"/>
  <c r="E130"/>
  <c r="E95"/>
  <c r="G54"/>
  <c r="E54" s="1"/>
  <c r="G24"/>
  <c r="E24" s="1"/>
  <c r="G19"/>
  <c r="E19" s="1"/>
  <c r="E8"/>
  <c r="E6" i="9"/>
  <c r="E241" i="4"/>
  <c r="E236"/>
  <c r="E196"/>
  <c r="E162"/>
  <c r="G121"/>
  <c r="G86"/>
  <c r="E51"/>
  <c r="G31"/>
  <c r="E31" s="1"/>
  <c r="G137"/>
  <c r="G102"/>
  <c r="E67"/>
  <c r="E47"/>
  <c r="E6"/>
  <c r="E14"/>
  <c r="F2" i="11"/>
  <c r="F3" i="5"/>
  <c r="F3" i="7"/>
  <c r="F6" i="6"/>
  <c r="F5"/>
  <c r="F4"/>
  <c r="F2" i="8"/>
  <c r="F7"/>
  <c r="F2" i="7"/>
  <c r="E2" i="9"/>
  <c r="F4" i="5"/>
  <c r="F5" i="7"/>
  <c r="B1" i="16"/>
  <c r="F4" i="8"/>
  <c r="F7" i="4"/>
  <c r="F7" i="7"/>
  <c r="F3" i="8"/>
  <c r="F5" i="4"/>
  <c r="F6" i="8"/>
  <c r="F5" i="11"/>
  <c r="F6" i="7"/>
  <c r="F4"/>
  <c r="F7" i="6"/>
  <c r="F3" i="11"/>
  <c r="F6" i="4"/>
  <c r="F4"/>
  <c r="F3" i="6"/>
  <c r="F2"/>
  <c r="C56" i="11"/>
  <c r="E56" s="1"/>
  <c r="N60" i="3"/>
  <c r="C47" i="11" s="1"/>
  <c r="E47" s="1"/>
  <c r="N62" i="3"/>
  <c r="C49" i="11" s="1"/>
  <c r="E49" s="1"/>
  <c r="O236" i="3"/>
  <c r="B34" i="10" s="1"/>
  <c r="D34" s="1"/>
  <c r="C182" i="11"/>
  <c r="E182"/>
  <c r="J67" i="6"/>
  <c r="M52"/>
  <c r="M90" i="5"/>
  <c r="M220"/>
  <c r="J106" i="6"/>
  <c r="J140"/>
  <c r="M164"/>
  <c r="M128"/>
  <c r="J162"/>
  <c r="J117"/>
  <c r="M23"/>
  <c r="J89"/>
  <c r="M60"/>
  <c r="C218" i="11"/>
  <c r="E218"/>
  <c r="M152" i="5"/>
  <c r="C150" i="11"/>
  <c r="E150"/>
  <c r="M82" i="6"/>
  <c r="M233"/>
  <c r="J191"/>
  <c r="C110" i="11"/>
  <c r="E110" s="1"/>
  <c r="C92"/>
  <c r="E92"/>
  <c r="J43" i="6"/>
  <c r="M9"/>
  <c r="A233" i="3"/>
  <c r="J205" i="6"/>
  <c r="J215"/>
  <c r="J18"/>
  <c r="M87"/>
  <c r="J151"/>
  <c r="J58"/>
  <c r="M232"/>
  <c r="J50"/>
  <c r="M189"/>
  <c r="J15"/>
  <c r="C195" i="11"/>
  <c r="E195" s="1"/>
  <c r="O237" i="3"/>
  <c r="J161" i="5"/>
  <c r="M158"/>
  <c r="C74" i="11"/>
  <c r="E74"/>
  <c r="M155" i="6"/>
  <c r="M33"/>
  <c r="J229"/>
  <c r="J220"/>
  <c r="M111"/>
  <c r="M122"/>
  <c r="M88"/>
  <c r="B34" i="9" l="1"/>
  <c r="D34" s="1"/>
  <c r="A234" i="3"/>
  <c r="K214" i="5"/>
  <c r="L214" s="1"/>
  <c r="K74"/>
  <c r="L74" s="1"/>
  <c r="K52"/>
  <c r="L52" s="1"/>
  <c r="K32"/>
  <c r="L32" s="1"/>
  <c r="K10"/>
  <c r="L10" s="1"/>
  <c r="M10" s="1"/>
  <c r="K125"/>
  <c r="L125" s="1"/>
  <c r="K83"/>
  <c r="L83" s="1"/>
  <c r="K63"/>
  <c r="L63" s="1"/>
  <c r="M63" s="1"/>
  <c r="K212"/>
  <c r="L212" s="1"/>
  <c r="K172"/>
  <c r="L172" s="1"/>
  <c r="K228"/>
  <c r="L228" s="1"/>
  <c r="K130"/>
  <c r="L130" s="1"/>
  <c r="K176"/>
  <c r="L176" s="1"/>
  <c r="K223"/>
  <c r="L223" s="1"/>
  <c r="K64"/>
  <c r="L64" s="1"/>
  <c r="M64" s="1"/>
  <c r="K44"/>
  <c r="L44" s="1"/>
  <c r="K24"/>
  <c r="L24" s="1"/>
  <c r="K225"/>
  <c r="L225" s="1"/>
  <c r="K113"/>
  <c r="L113" s="1"/>
  <c r="K75"/>
  <c r="L75" s="1"/>
  <c r="K45"/>
  <c r="L45" s="1"/>
  <c r="K17"/>
  <c r="L17" s="1"/>
  <c r="K200"/>
  <c r="L200" s="1"/>
  <c r="K230"/>
  <c r="L230" s="1"/>
  <c r="K150"/>
  <c r="L150" s="1"/>
  <c r="K178"/>
  <c r="L178" s="1"/>
  <c r="M178" s="1"/>
  <c r="K204"/>
  <c r="L204" s="1"/>
  <c r="K110"/>
  <c r="L110" s="1"/>
  <c r="K76"/>
  <c r="L76" s="1"/>
  <c r="K55"/>
  <c r="L55" s="1"/>
  <c r="K66"/>
  <c r="L66" s="1"/>
  <c r="K2"/>
  <c r="L2" s="1"/>
  <c r="K115"/>
  <c r="L115" s="1"/>
  <c r="K77"/>
  <c r="L77" s="1"/>
  <c r="K37"/>
  <c r="L37" s="1"/>
  <c r="K9"/>
  <c r="L9" s="1"/>
  <c r="K40"/>
  <c r="L40" s="1"/>
  <c r="K218"/>
  <c r="L218" s="1"/>
  <c r="K96"/>
  <c r="L96" s="1"/>
  <c r="K62"/>
  <c r="L62" s="1"/>
  <c r="K42"/>
  <c r="L42" s="1"/>
  <c r="K22"/>
  <c r="L22" s="1"/>
  <c r="J22" s="1"/>
  <c r="K221"/>
  <c r="L221" s="1"/>
  <c r="K93"/>
  <c r="L93" s="1"/>
  <c r="K73"/>
  <c r="L73" s="1"/>
  <c r="K53"/>
  <c r="L53" s="1"/>
  <c r="K241"/>
  <c r="L241" s="1"/>
  <c r="K131"/>
  <c r="L131" s="1"/>
  <c r="K194"/>
  <c r="L194" s="1"/>
  <c r="K198"/>
  <c r="L198" s="1"/>
  <c r="K181"/>
  <c r="L181" s="1"/>
  <c r="K98"/>
  <c r="L98" s="1"/>
  <c r="K54"/>
  <c r="L54" s="1"/>
  <c r="M54" s="1"/>
  <c r="K34"/>
  <c r="L34" s="1"/>
  <c r="K12"/>
  <c r="L12" s="1"/>
  <c r="J12" s="1"/>
  <c r="K187"/>
  <c r="L187" s="1"/>
  <c r="K85"/>
  <c r="L85" s="1"/>
  <c r="K65"/>
  <c r="L65" s="1"/>
  <c r="K27"/>
  <c r="L27" s="1"/>
  <c r="M27" s="1"/>
  <c r="K199"/>
  <c r="L199" s="1"/>
  <c r="M199" s="1"/>
  <c r="K166"/>
  <c r="L166" s="1"/>
  <c r="K208"/>
  <c r="L208" s="1"/>
  <c r="K211"/>
  <c r="L211" s="1"/>
  <c r="K154"/>
  <c r="L154" s="1"/>
  <c r="K127"/>
  <c r="L127" s="1"/>
  <c r="K88"/>
  <c r="L88" s="1"/>
  <c r="K95"/>
  <c r="L95" s="1"/>
  <c r="K100"/>
  <c r="L100" s="1"/>
  <c r="K14"/>
  <c r="L14" s="1"/>
  <c r="K191"/>
  <c r="L191" s="1"/>
  <c r="K105"/>
  <c r="L105" s="1"/>
  <c r="K67"/>
  <c r="L67" s="1"/>
  <c r="K19"/>
  <c r="L19" s="1"/>
  <c r="M19" s="1"/>
  <c r="K239"/>
  <c r="L239" s="1"/>
  <c r="K195"/>
  <c r="L195" s="1"/>
  <c r="K167"/>
  <c r="L167" s="1"/>
  <c r="M167" s="1"/>
  <c r="K210"/>
  <c r="L210" s="1"/>
  <c r="K180"/>
  <c r="L180" s="1"/>
  <c r="M180" s="1"/>
  <c r="K135"/>
  <c r="L135" s="1"/>
  <c r="M135" s="1"/>
  <c r="K112"/>
  <c r="L112" s="1"/>
  <c r="K78"/>
  <c r="L78" s="1"/>
  <c r="J78" s="1"/>
  <c r="K56"/>
  <c r="L56" s="1"/>
  <c r="K46"/>
  <c r="L46" s="1"/>
  <c r="K36"/>
  <c r="L36" s="1"/>
  <c r="K26"/>
  <c r="L26" s="1"/>
  <c r="J26" s="1"/>
  <c r="K87"/>
  <c r="L87" s="1"/>
  <c r="K57"/>
  <c r="L57" s="1"/>
  <c r="M57" s="1"/>
  <c r="K47"/>
  <c r="L47" s="1"/>
  <c r="K29"/>
  <c r="L29" s="1"/>
  <c r="K189"/>
  <c r="L189" s="1"/>
  <c r="M189" s="1"/>
  <c r="K102"/>
  <c r="L102" s="1"/>
  <c r="K68"/>
  <c r="L68" s="1"/>
  <c r="K16"/>
  <c r="L16" s="1"/>
  <c r="K4"/>
  <c r="L4" s="1"/>
  <c r="K117"/>
  <c r="L117" s="1"/>
  <c r="K107"/>
  <c r="L107" s="1"/>
  <c r="K97"/>
  <c r="L97" s="1"/>
  <c r="K69"/>
  <c r="L69" s="1"/>
  <c r="K39"/>
  <c r="L39" s="1"/>
  <c r="K11"/>
  <c r="L11" s="1"/>
  <c r="K124"/>
  <c r="L124" s="1"/>
  <c r="K192"/>
  <c r="L192" s="1"/>
  <c r="K227"/>
  <c r="L227" s="1"/>
  <c r="K205"/>
  <c r="L205" s="1"/>
  <c r="K169"/>
  <c r="L169" s="1"/>
  <c r="K156"/>
  <c r="L156" s="1"/>
  <c r="K139"/>
  <c r="L139" s="1"/>
  <c r="K159"/>
  <c r="L159" s="1"/>
  <c r="K138"/>
  <c r="L138" s="1"/>
  <c r="K164"/>
  <c r="L164" s="1"/>
  <c r="K145"/>
  <c r="L145" s="1"/>
  <c r="K185"/>
  <c r="L185" s="1"/>
  <c r="K114"/>
  <c r="L114" s="1"/>
  <c r="K80"/>
  <c r="L80" s="1"/>
  <c r="K58"/>
  <c r="L58" s="1"/>
  <c r="M58" s="1"/>
  <c r="K48"/>
  <c r="L48" s="1"/>
  <c r="K38"/>
  <c r="L38" s="1"/>
  <c r="K28"/>
  <c r="L28" s="1"/>
  <c r="K197"/>
  <c r="L197" s="1"/>
  <c r="K79"/>
  <c r="L79" s="1"/>
  <c r="J79" s="1"/>
  <c r="K59"/>
  <c r="L59" s="1"/>
  <c r="K49"/>
  <c r="L49" s="1"/>
  <c r="K21"/>
  <c r="L21" s="1"/>
  <c r="K118"/>
  <c r="L118" s="1"/>
  <c r="K193"/>
  <c r="L193" s="1"/>
  <c r="M193" s="1"/>
  <c r="K104"/>
  <c r="L104" s="1"/>
  <c r="K92"/>
  <c r="L92" s="1"/>
  <c r="K70"/>
  <c r="L70" s="1"/>
  <c r="K18"/>
  <c r="L18" s="1"/>
  <c r="K6"/>
  <c r="L6" s="1"/>
  <c r="K109"/>
  <c r="L109" s="1"/>
  <c r="K99"/>
  <c r="L99" s="1"/>
  <c r="K89"/>
  <c r="L89" s="1"/>
  <c r="K31"/>
  <c r="L31" s="1"/>
  <c r="K122"/>
  <c r="L122" s="1"/>
  <c r="M122" s="1"/>
  <c r="K229"/>
  <c r="L229" s="1"/>
  <c r="K160"/>
  <c r="L160" s="1"/>
  <c r="M160" s="1"/>
  <c r="K141"/>
  <c r="L141" s="1"/>
  <c r="K236"/>
  <c r="L236" s="1"/>
  <c r="K144"/>
  <c r="L144" s="1"/>
  <c r="M144" s="1"/>
  <c r="K237"/>
  <c r="L237" s="1"/>
  <c r="K147"/>
  <c r="L147" s="1"/>
  <c r="K213"/>
  <c r="L213" s="1"/>
  <c r="K165"/>
  <c r="L165" s="1"/>
  <c r="M165" s="1"/>
  <c r="K116"/>
  <c r="L116" s="1"/>
  <c r="K82"/>
  <c r="L82" s="1"/>
  <c r="J82" s="1"/>
  <c r="K60"/>
  <c r="L60" s="1"/>
  <c r="M60" s="1"/>
  <c r="K50"/>
  <c r="L50" s="1"/>
  <c r="K30"/>
  <c r="L30" s="1"/>
  <c r="K121"/>
  <c r="L121" s="1"/>
  <c r="K71"/>
  <c r="L71" s="1"/>
  <c r="K51"/>
  <c r="L51" s="1"/>
  <c r="K41"/>
  <c r="L41" s="1"/>
  <c r="K23"/>
  <c r="L23" s="1"/>
  <c r="K13"/>
  <c r="L13" s="1"/>
  <c r="M13" s="1"/>
  <c r="K3"/>
  <c r="L3" s="1"/>
  <c r="K190"/>
  <c r="L190" s="1"/>
  <c r="K216"/>
  <c r="L216" s="1"/>
  <c r="K207"/>
  <c r="L207" s="1"/>
  <c r="K170"/>
  <c r="L170" s="1"/>
  <c r="K173"/>
  <c r="L173" s="1"/>
  <c r="K174"/>
  <c r="L174" s="1"/>
  <c r="M174" s="1"/>
  <c r="K196"/>
  <c r="L196" s="1"/>
  <c r="K48" i="7"/>
  <c r="L48" s="1"/>
  <c r="K72"/>
  <c r="L72" s="1"/>
  <c r="K109"/>
  <c r="L109" s="1"/>
  <c r="J109" s="1"/>
  <c r="K142"/>
  <c r="L142" s="1"/>
  <c r="K177"/>
  <c r="L177" s="1"/>
  <c r="K104"/>
  <c r="L104" s="1"/>
  <c r="K178"/>
  <c r="L178" s="1"/>
  <c r="K36"/>
  <c r="L36" s="1"/>
  <c r="M36" s="1"/>
  <c r="K60"/>
  <c r="L60" s="1"/>
  <c r="K87"/>
  <c r="L87" s="1"/>
  <c r="K132"/>
  <c r="L132" s="1"/>
  <c r="K216"/>
  <c r="L216" s="1"/>
  <c r="K77"/>
  <c r="L77" s="1"/>
  <c r="K127"/>
  <c r="L127" s="1"/>
  <c r="K225" i="6"/>
  <c r="L225" s="1"/>
  <c r="K204"/>
  <c r="L204" s="1"/>
  <c r="M204" s="1"/>
  <c r="K216"/>
  <c r="L216" s="1"/>
  <c r="K198"/>
  <c r="L198" s="1"/>
  <c r="K167"/>
  <c r="L167" s="1"/>
  <c r="M167" s="1"/>
  <c r="K121"/>
  <c r="L121" s="1"/>
  <c r="K86"/>
  <c r="L86" s="1"/>
  <c r="M86" s="1"/>
  <c r="K34"/>
  <c r="L34" s="1"/>
  <c r="K22"/>
  <c r="L22" s="1"/>
  <c r="K221"/>
  <c r="L221" s="1"/>
  <c r="K238"/>
  <c r="L238" s="1"/>
  <c r="K64"/>
  <c r="L64" s="1"/>
  <c r="K148"/>
  <c r="L148" s="1"/>
  <c r="K199"/>
  <c r="L199" s="1"/>
  <c r="M199" s="1"/>
  <c r="K123"/>
  <c r="L123" s="1"/>
  <c r="K24"/>
  <c r="L24" s="1"/>
  <c r="K219"/>
  <c r="L219" s="1"/>
  <c r="K62"/>
  <c r="L62" s="1"/>
  <c r="M62" s="1"/>
  <c r="K71"/>
  <c r="L71" s="1"/>
  <c r="K146"/>
  <c r="L146" s="1"/>
  <c r="K190"/>
  <c r="L190" s="1"/>
  <c r="K226"/>
  <c r="L226" s="1"/>
  <c r="K181"/>
  <c r="L181" s="1"/>
  <c r="K159"/>
  <c r="L159" s="1"/>
  <c r="K147"/>
  <c r="L147" s="1"/>
  <c r="K135"/>
  <c r="L135" s="1"/>
  <c r="M135" s="1"/>
  <c r="K112"/>
  <c r="L112" s="1"/>
  <c r="K100"/>
  <c r="L100" s="1"/>
  <c r="K78"/>
  <c r="L78" s="1"/>
  <c r="J78" s="1"/>
  <c r="K61"/>
  <c r="L61" s="1"/>
  <c r="K48"/>
  <c r="L48" s="1"/>
  <c r="K36"/>
  <c r="L36" s="1"/>
  <c r="K2"/>
  <c r="L2" s="1"/>
  <c r="K27"/>
  <c r="L27" s="1"/>
  <c r="K51"/>
  <c r="L51" s="1"/>
  <c r="K91"/>
  <c r="L91" s="1"/>
  <c r="K114"/>
  <c r="L114" s="1"/>
  <c r="K194"/>
  <c r="L194" s="1"/>
  <c r="K235"/>
  <c r="L235" s="1"/>
  <c r="K171"/>
  <c r="L171" s="1"/>
  <c r="K90"/>
  <c r="L90" s="1"/>
  <c r="K14"/>
  <c r="L14" s="1"/>
  <c r="K234"/>
  <c r="L234" s="1"/>
  <c r="K70"/>
  <c r="L70" s="1"/>
  <c r="K134"/>
  <c r="L134" s="1"/>
  <c r="K156"/>
  <c r="L156" s="1"/>
  <c r="K186"/>
  <c r="L186" s="1"/>
  <c r="K217"/>
  <c r="L217" s="1"/>
  <c r="K161"/>
  <c r="L161" s="1"/>
  <c r="K137"/>
  <c r="L137" s="1"/>
  <c r="M137" s="1"/>
  <c r="K63"/>
  <c r="L63" s="1"/>
  <c r="K38"/>
  <c r="L38" s="1"/>
  <c r="K13"/>
  <c r="L13" s="1"/>
  <c r="M13" s="1"/>
  <c r="K37"/>
  <c r="L37" s="1"/>
  <c r="K77"/>
  <c r="L77" s="1"/>
  <c r="J77" s="1"/>
  <c r="K101"/>
  <c r="L101" s="1"/>
  <c r="K174"/>
  <c r="L174" s="1"/>
  <c r="M174" s="1"/>
  <c r="K195"/>
  <c r="L195" s="1"/>
  <c r="M195" s="1"/>
  <c r="K173"/>
  <c r="L173" s="1"/>
  <c r="K115"/>
  <c r="L115" s="1"/>
  <c r="K80"/>
  <c r="L80" s="1"/>
  <c r="J80" s="1"/>
  <c r="K16"/>
  <c r="L16" s="1"/>
  <c r="K236"/>
  <c r="L236" s="1"/>
  <c r="K175"/>
  <c r="L175" s="1"/>
  <c r="K141"/>
  <c r="L141" s="1"/>
  <c r="K69"/>
  <c r="L69" s="1"/>
  <c r="K42"/>
  <c r="L42" s="1"/>
  <c r="J42" s="1"/>
  <c r="K230"/>
  <c r="L230" s="1"/>
  <c r="K21"/>
  <c r="L21" s="1"/>
  <c r="K45"/>
  <c r="L45" s="1"/>
  <c r="K97"/>
  <c r="L97" s="1"/>
  <c r="K130"/>
  <c r="L130" s="1"/>
  <c r="K192"/>
  <c r="L192" s="1"/>
  <c r="J149"/>
  <c r="K108"/>
  <c r="L108" s="1"/>
  <c r="K11"/>
  <c r="L11" s="1"/>
  <c r="M11" s="1"/>
  <c r="K83"/>
  <c r="L83" s="1"/>
  <c r="J83" s="1"/>
  <c r="K111" i="5"/>
  <c r="L111" s="1"/>
  <c r="M111" s="1"/>
  <c r="K120"/>
  <c r="L120" s="1"/>
  <c r="K177"/>
  <c r="L177" s="1"/>
  <c r="K182" i="6"/>
  <c r="L182" s="1"/>
  <c r="K85"/>
  <c r="L85" s="1"/>
  <c r="K8"/>
  <c r="L8" s="1"/>
  <c r="M8" s="1"/>
  <c r="K54"/>
  <c r="L54" s="1"/>
  <c r="K153"/>
  <c r="L153" s="1"/>
  <c r="K237"/>
  <c r="L237" s="1"/>
  <c r="K210"/>
  <c r="L210" s="1"/>
  <c r="M210" s="1"/>
  <c r="K172"/>
  <c r="L172" s="1"/>
  <c r="K152"/>
  <c r="L152" s="1"/>
  <c r="K120"/>
  <c r="L120" s="1"/>
  <c r="K56"/>
  <c r="L56" s="1"/>
  <c r="K227"/>
  <c r="L227" s="1"/>
  <c r="K30"/>
  <c r="L30" s="1"/>
  <c r="J30" s="1"/>
  <c r="K94"/>
  <c r="L94" s="1"/>
  <c r="K129"/>
  <c r="L129" s="1"/>
  <c r="K196"/>
  <c r="L196" s="1"/>
  <c r="K184"/>
  <c r="L184" s="1"/>
  <c r="K99"/>
  <c r="L99" s="1"/>
  <c r="K75"/>
  <c r="L75" s="1"/>
  <c r="K35"/>
  <c r="L35" s="1"/>
  <c r="J35" s="1"/>
  <c r="K10"/>
  <c r="L10" s="1"/>
  <c r="K40"/>
  <c r="L40" s="1"/>
  <c r="J40" s="1"/>
  <c r="K65"/>
  <c r="L65" s="1"/>
  <c r="K139"/>
  <c r="L139" s="1"/>
  <c r="K163"/>
  <c r="L163" s="1"/>
  <c r="K211"/>
  <c r="L211" s="1"/>
  <c r="K193"/>
  <c r="L193" s="1"/>
  <c r="M193" s="1"/>
  <c r="K154"/>
  <c r="L154" s="1"/>
  <c r="K132"/>
  <c r="L132" s="1"/>
  <c r="K68"/>
  <c r="L68" s="1"/>
  <c r="K222"/>
  <c r="L222" s="1"/>
  <c r="K92"/>
  <c r="L92" s="1"/>
  <c r="K183"/>
  <c r="L183" s="1"/>
  <c r="J183" s="1"/>
  <c r="K113"/>
  <c r="L113" s="1"/>
  <c r="M113" s="1"/>
  <c r="K49"/>
  <c r="L49" s="1"/>
  <c r="K5"/>
  <c r="L5" s="1"/>
  <c r="K102"/>
  <c r="L102" s="1"/>
  <c r="M102" s="1"/>
  <c r="K200"/>
  <c r="L200" s="1"/>
  <c r="K166"/>
  <c r="L166" s="1"/>
  <c r="K124"/>
  <c r="L124" s="1"/>
  <c r="M124" s="1"/>
  <c r="K231"/>
  <c r="L231" s="1"/>
  <c r="K125"/>
  <c r="L125" s="1"/>
  <c r="K207"/>
  <c r="L207" s="1"/>
  <c r="K103"/>
  <c r="L103" s="1"/>
  <c r="J103" s="1"/>
  <c r="K39"/>
  <c r="L39" s="1"/>
  <c r="K3"/>
  <c r="L3" s="1"/>
  <c r="K12"/>
  <c r="L12" s="1"/>
  <c r="J12" s="1"/>
  <c r="K169"/>
  <c r="L169" s="1"/>
  <c r="K72"/>
  <c r="L72" s="1"/>
  <c r="M72" s="1"/>
  <c r="K175" i="5"/>
  <c r="L175" s="1"/>
  <c r="K155"/>
  <c r="L155" s="1"/>
  <c r="K203"/>
  <c r="L203" s="1"/>
  <c r="K150" i="6"/>
  <c r="L150" s="1"/>
  <c r="K223"/>
  <c r="L223" s="1"/>
  <c r="K84"/>
  <c r="L84" s="1"/>
  <c r="K66"/>
  <c r="L66" s="1"/>
  <c r="J66" s="1"/>
  <c r="K32"/>
  <c r="L32" s="1"/>
  <c r="N110" i="3"/>
  <c r="O110"/>
  <c r="N43"/>
  <c r="C32" i="11" s="1"/>
  <c r="E32" s="1"/>
  <c r="N10" i="3"/>
  <c r="C4" i="11" s="1"/>
  <c r="E4" s="1"/>
  <c r="N59" i="3"/>
  <c r="C46" i="11" s="1"/>
  <c r="E46" s="1"/>
  <c r="N86" i="3"/>
  <c r="C69" i="11" s="1"/>
  <c r="E69" s="1"/>
  <c r="N38" i="3"/>
  <c r="C28" i="11" s="1"/>
  <c r="E28" s="1"/>
  <c r="E98" i="4"/>
  <c r="E68" i="8"/>
  <c r="M247" i="3"/>
  <c r="N247" s="1"/>
  <c r="C207" i="11" s="1"/>
  <c r="E207" s="1"/>
  <c r="M190" i="3"/>
  <c r="M183"/>
  <c r="N183" s="1"/>
  <c r="M16"/>
  <c r="M20"/>
  <c r="N20" s="1"/>
  <c r="C13" i="11" s="1"/>
  <c r="E13" s="1"/>
  <c r="M25" i="3"/>
  <c r="M32"/>
  <c r="M34"/>
  <c r="N34" s="1"/>
  <c r="C25" i="11" s="1"/>
  <c r="E25" s="1"/>
  <c r="M37" i="3"/>
  <c r="O40" s="1"/>
  <c r="M39"/>
  <c r="M44"/>
  <c r="O47" s="1"/>
  <c r="M46"/>
  <c r="N46" s="1"/>
  <c r="C35" i="11" s="1"/>
  <c r="E35" s="1"/>
  <c r="M55" i="3"/>
  <c r="N55" s="1"/>
  <c r="C43" i="11" s="1"/>
  <c r="E43" s="1"/>
  <c r="M58" i="3"/>
  <c r="M65"/>
  <c r="N65" s="1"/>
  <c r="C51" i="11" s="1"/>
  <c r="E51" s="1"/>
  <c r="M69" i="3"/>
  <c r="M72"/>
  <c r="N72" s="1"/>
  <c r="C57" i="11" s="1"/>
  <c r="E57" s="1"/>
  <c r="M116" i="3"/>
  <c r="N116" s="1"/>
  <c r="C95" i="11" s="1"/>
  <c r="E95" s="1"/>
  <c r="M121" i="3"/>
  <c r="M123"/>
  <c r="N123" s="1"/>
  <c r="C101" i="11" s="1"/>
  <c r="E101" s="1"/>
  <c r="M130" i="3"/>
  <c r="M135"/>
  <c r="M139"/>
  <c r="N139" s="1"/>
  <c r="C115" i="11" s="1"/>
  <c r="E115" s="1"/>
  <c r="M142" i="3"/>
  <c r="M144"/>
  <c r="N144" s="1"/>
  <c r="C119" i="11" s="1"/>
  <c r="E119" s="1"/>
  <c r="M146" i="3"/>
  <c r="N146" s="1"/>
  <c r="C121" i="11" s="1"/>
  <c r="E121" s="1"/>
  <c r="M158" i="3"/>
  <c r="M163"/>
  <c r="N163" s="1"/>
  <c r="C135" i="11" s="1"/>
  <c r="E135" s="1"/>
  <c r="M165" i="3"/>
  <c r="N165" s="1"/>
  <c r="C137" i="11" s="1"/>
  <c r="E137" s="1"/>
  <c r="M174" i="3"/>
  <c r="M179"/>
  <c r="M181"/>
  <c r="N181" s="1"/>
  <c r="C151" i="11" s="1"/>
  <c r="E151" s="1"/>
  <c r="M188" i="3"/>
  <c r="N188" s="1"/>
  <c r="C157" i="11" s="1"/>
  <c r="E157" s="1"/>
  <c r="M193" i="3"/>
  <c r="N193" s="1"/>
  <c r="C161" i="11" s="1"/>
  <c r="E161" s="1"/>
  <c r="M195" i="3"/>
  <c r="N195" s="1"/>
  <c r="C163" i="11" s="1"/>
  <c r="E163" s="1"/>
  <c r="M198" i="3"/>
  <c r="N198" s="1"/>
  <c r="M200"/>
  <c r="N200" s="1"/>
  <c r="C167" i="11" s="1"/>
  <c r="E167" s="1"/>
  <c r="M202" i="3"/>
  <c r="N202" s="1"/>
  <c r="C169" i="11" s="1"/>
  <c r="E169" s="1"/>
  <c r="M228" i="3"/>
  <c r="N228" s="1"/>
  <c r="C191" i="11" s="1"/>
  <c r="E191" s="1"/>
  <c r="M251" i="3"/>
  <c r="N251" s="1"/>
  <c r="C211" i="11" s="1"/>
  <c r="E211" s="1"/>
  <c r="M254" i="3"/>
  <c r="N254" s="1"/>
  <c r="C213" i="11" s="1"/>
  <c r="E213" s="1"/>
  <c r="M256" i="3"/>
  <c r="N256" s="1"/>
  <c r="C215" i="11" s="1"/>
  <c r="E215" s="1"/>
  <c r="M261" i="3"/>
  <c r="N261" s="1"/>
  <c r="M263"/>
  <c r="N263" s="1"/>
  <c r="C221" i="11" s="1"/>
  <c r="E221" s="1"/>
  <c r="M268" i="3"/>
  <c r="N268" s="1"/>
  <c r="M270"/>
  <c r="N270" s="1"/>
  <c r="C227" i="11" s="1"/>
  <c r="E227" s="1"/>
  <c r="M275" i="3"/>
  <c r="N275" s="1"/>
  <c r="C231" i="11" s="1"/>
  <c r="E231" s="1"/>
  <c r="M277" i="3"/>
  <c r="N277" s="1"/>
  <c r="C233" i="11" s="1"/>
  <c r="E233" s="1"/>
  <c r="N29" i="3"/>
  <c r="C20" i="11" s="1"/>
  <c r="E20" s="1"/>
  <c r="E36" i="4"/>
  <c r="M103" i="3"/>
  <c r="N103" s="1"/>
  <c r="C84" i="11" s="1"/>
  <c r="E84" s="1"/>
  <c r="M93" i="3"/>
  <c r="N93" s="1"/>
  <c r="C75" i="11" s="1"/>
  <c r="E75" s="1"/>
  <c r="J85" i="6"/>
  <c r="M85"/>
  <c r="J153"/>
  <c r="M153"/>
  <c r="M127"/>
  <c r="J127"/>
  <c r="J25"/>
  <c r="M25"/>
  <c r="M212"/>
  <c r="J212"/>
  <c r="M26"/>
  <c r="J26"/>
  <c r="M79"/>
  <c r="J79"/>
  <c r="M12"/>
  <c r="M239" i="5"/>
  <c r="J239"/>
  <c r="M100"/>
  <c r="J100"/>
  <c r="M208"/>
  <c r="J208"/>
  <c r="J187"/>
  <c r="M187"/>
  <c r="M198"/>
  <c r="J198"/>
  <c r="J194"/>
  <c r="M194"/>
  <c r="J93"/>
  <c r="M93"/>
  <c r="M97" i="6"/>
  <c r="J97"/>
  <c r="J141"/>
  <c r="M141"/>
  <c r="J236"/>
  <c r="M236"/>
  <c r="J115"/>
  <c r="M115"/>
  <c r="M37"/>
  <c r="M217"/>
  <c r="J217"/>
  <c r="M14"/>
  <c r="J14"/>
  <c r="M91"/>
  <c r="J91"/>
  <c r="J219"/>
  <c r="M219"/>
  <c r="M24"/>
  <c r="J9" i="5"/>
  <c r="M9"/>
  <c r="J55"/>
  <c r="M55"/>
  <c r="M230"/>
  <c r="J230"/>
  <c r="J225"/>
  <c r="M225"/>
  <c r="J130"/>
  <c r="M130"/>
  <c r="M125"/>
  <c r="J125"/>
  <c r="J109" i="6"/>
  <c r="K129" i="5"/>
  <c r="L129" s="1"/>
  <c r="K25"/>
  <c r="L25" s="1"/>
  <c r="K91"/>
  <c r="L91" s="1"/>
  <c r="K126"/>
  <c r="L126" s="1"/>
  <c r="K90" i="7"/>
  <c r="L90" s="1"/>
  <c r="K108"/>
  <c r="L108" s="1"/>
  <c r="K131"/>
  <c r="L131" s="1"/>
  <c r="K195"/>
  <c r="L195" s="1"/>
  <c r="K214"/>
  <c r="L214" s="1"/>
  <c r="K215"/>
  <c r="L215" s="1"/>
  <c r="K191"/>
  <c r="L191" s="1"/>
  <c r="K160"/>
  <c r="L160" s="1"/>
  <c r="K10"/>
  <c r="L10" s="1"/>
  <c r="K22"/>
  <c r="L22" s="1"/>
  <c r="K34"/>
  <c r="L34" s="1"/>
  <c r="K46"/>
  <c r="L46" s="1"/>
  <c r="K58"/>
  <c r="L58" s="1"/>
  <c r="K70"/>
  <c r="L70" s="1"/>
  <c r="K94"/>
  <c r="L94" s="1"/>
  <c r="K126"/>
  <c r="L126" s="1"/>
  <c r="K140"/>
  <c r="L140" s="1"/>
  <c r="K176"/>
  <c r="L176" s="1"/>
  <c r="K234"/>
  <c r="L234" s="1"/>
  <c r="K207"/>
  <c r="L207" s="1"/>
  <c r="K220"/>
  <c r="L220" s="1"/>
  <c r="K189"/>
  <c r="L189" s="1"/>
  <c r="K237"/>
  <c r="L237" s="1"/>
  <c r="K14"/>
  <c r="L14" s="1"/>
  <c r="K26"/>
  <c r="L26" s="1"/>
  <c r="K38"/>
  <c r="L38" s="1"/>
  <c r="K50"/>
  <c r="L50" s="1"/>
  <c r="K62"/>
  <c r="L62" s="1"/>
  <c r="K74"/>
  <c r="L74" s="1"/>
  <c r="K97"/>
  <c r="L97" s="1"/>
  <c r="K106"/>
  <c r="L106" s="1"/>
  <c r="K181"/>
  <c r="L181" s="1"/>
  <c r="K230"/>
  <c r="L230" s="1"/>
  <c r="K172"/>
  <c r="L172" s="1"/>
  <c r="K83"/>
  <c r="L83" s="1"/>
  <c r="K110"/>
  <c r="L110" s="1"/>
  <c r="K124"/>
  <c r="L124" s="1"/>
  <c r="K138"/>
  <c r="L138" s="1"/>
  <c r="K148"/>
  <c r="L148" s="1"/>
  <c r="K171"/>
  <c r="L171" s="1"/>
  <c r="K210"/>
  <c r="L210" s="1"/>
  <c r="K225"/>
  <c r="L225" s="1"/>
  <c r="K239"/>
  <c r="L239" s="1"/>
  <c r="K7"/>
  <c r="L7" s="1"/>
  <c r="K18"/>
  <c r="L18" s="1"/>
  <c r="K30"/>
  <c r="L30" s="1"/>
  <c r="K42"/>
  <c r="L42" s="1"/>
  <c r="K54"/>
  <c r="L54" s="1"/>
  <c r="K66"/>
  <c r="L66" s="1"/>
  <c r="K82"/>
  <c r="L82" s="1"/>
  <c r="K91"/>
  <c r="L91" s="1"/>
  <c r="K123"/>
  <c r="L123" s="1"/>
  <c r="K137"/>
  <c r="L137" s="1"/>
  <c r="K159"/>
  <c r="L159" s="1"/>
  <c r="K226"/>
  <c r="L226" s="1"/>
  <c r="K2"/>
  <c r="L2" s="1"/>
  <c r="K95"/>
  <c r="L95" s="1"/>
  <c r="K118"/>
  <c r="L118" s="1"/>
  <c r="K151"/>
  <c r="L151" s="1"/>
  <c r="K197"/>
  <c r="L197" s="1"/>
  <c r="K103"/>
  <c r="L103" s="1"/>
  <c r="K122"/>
  <c r="L122" s="1"/>
  <c r="K157"/>
  <c r="L157" s="1"/>
  <c r="K208"/>
  <c r="L208" s="1"/>
  <c r="K222"/>
  <c r="L222" s="1"/>
  <c r="K198"/>
  <c r="L198" s="1"/>
  <c r="K182"/>
  <c r="L182" s="1"/>
  <c r="K153"/>
  <c r="L153" s="1"/>
  <c r="K16"/>
  <c r="L16" s="1"/>
  <c r="K28"/>
  <c r="L28" s="1"/>
  <c r="K40"/>
  <c r="L40" s="1"/>
  <c r="K52"/>
  <c r="L52" s="1"/>
  <c r="K64"/>
  <c r="L64" s="1"/>
  <c r="K76"/>
  <c r="L76" s="1"/>
  <c r="K117"/>
  <c r="L117" s="1"/>
  <c r="K135"/>
  <c r="L135" s="1"/>
  <c r="K150"/>
  <c r="L150" s="1"/>
  <c r="K221"/>
  <c r="L221" s="1"/>
  <c r="K213"/>
  <c r="L213" s="1"/>
  <c r="K5"/>
  <c r="L5" s="1"/>
  <c r="K196"/>
  <c r="L196" s="1"/>
  <c r="K158"/>
  <c r="L158" s="1"/>
  <c r="K4"/>
  <c r="L4" s="1"/>
  <c r="K20"/>
  <c r="L20" s="1"/>
  <c r="K32"/>
  <c r="L32" s="1"/>
  <c r="K44"/>
  <c r="L44" s="1"/>
  <c r="K56"/>
  <c r="L56" s="1"/>
  <c r="K68"/>
  <c r="L68" s="1"/>
  <c r="K79"/>
  <c r="L79" s="1"/>
  <c r="K101"/>
  <c r="L101" s="1"/>
  <c r="K120"/>
  <c r="L120" s="1"/>
  <c r="K202"/>
  <c r="L202" s="1"/>
  <c r="K203"/>
  <c r="L203" s="1"/>
  <c r="K165"/>
  <c r="L165" s="1"/>
  <c r="K88"/>
  <c r="L88" s="1"/>
  <c r="K115"/>
  <c r="L115" s="1"/>
  <c r="K129"/>
  <c r="L129" s="1"/>
  <c r="K143"/>
  <c r="L143" s="1"/>
  <c r="K154"/>
  <c r="L154" s="1"/>
  <c r="K190"/>
  <c r="L190" s="1"/>
  <c r="K233"/>
  <c r="L233" s="1"/>
  <c r="K201"/>
  <c r="L201" s="1"/>
  <c r="K12"/>
  <c r="L12" s="1"/>
  <c r="K24"/>
  <c r="L24" s="1"/>
  <c r="K93" i="6"/>
  <c r="L93" s="1"/>
  <c r="K208"/>
  <c r="L208" s="1"/>
  <c r="K138"/>
  <c r="L138" s="1"/>
  <c r="K118"/>
  <c r="L118" s="1"/>
  <c r="K203"/>
  <c r="L203" s="1"/>
  <c r="K126"/>
  <c r="L126" s="1"/>
  <c r="K178"/>
  <c r="L178" s="1"/>
  <c r="K213"/>
  <c r="L213" s="1"/>
  <c r="K74"/>
  <c r="L74" s="1"/>
  <c r="K160"/>
  <c r="L160" s="1"/>
  <c r="K240"/>
  <c r="L240" s="1"/>
  <c r="N50" i="3"/>
  <c r="O54"/>
  <c r="N240"/>
  <c r="N114"/>
  <c r="O117"/>
  <c r="N99"/>
  <c r="G212" i="4"/>
  <c r="E212"/>
  <c r="E208"/>
  <c r="G208"/>
  <c r="E193"/>
  <c r="G193"/>
  <c r="E191"/>
  <c r="G191"/>
  <c r="E189"/>
  <c r="G189"/>
  <c r="G178"/>
  <c r="E178"/>
  <c r="G155"/>
  <c r="E155"/>
  <c r="E134"/>
  <c r="G134"/>
  <c r="G132"/>
  <c r="E132"/>
  <c r="E128"/>
  <c r="G128"/>
  <c r="E85"/>
  <c r="G85"/>
  <c r="E83"/>
  <c r="G83"/>
  <c r="G75"/>
  <c r="E75" s="1"/>
  <c r="G52"/>
  <c r="E52" s="1"/>
  <c r="G40"/>
  <c r="E40" s="1"/>
  <c r="G35"/>
  <c r="E35" s="1"/>
  <c r="G3"/>
  <c r="E3" s="1"/>
  <c r="K241" i="7"/>
  <c r="L241" s="1"/>
  <c r="K231"/>
  <c r="L231" s="1"/>
  <c r="K235"/>
  <c r="L235" s="1"/>
  <c r="K155"/>
  <c r="L155" s="1"/>
  <c r="K23"/>
  <c r="L23" s="1"/>
  <c r="K59"/>
  <c r="L59" s="1"/>
  <c r="K146"/>
  <c r="L146" s="1"/>
  <c r="K145"/>
  <c r="L145" s="1"/>
  <c r="K193"/>
  <c r="L193" s="1"/>
  <c r="K17"/>
  <c r="L17" s="1"/>
  <c r="K53"/>
  <c r="L53" s="1"/>
  <c r="K86"/>
  <c r="L86" s="1"/>
  <c r="K113"/>
  <c r="L113" s="1"/>
  <c r="K141"/>
  <c r="L141" s="1"/>
  <c r="K185"/>
  <c r="L185" s="1"/>
  <c r="K204"/>
  <c r="L204" s="1"/>
  <c r="K11"/>
  <c r="L11" s="1"/>
  <c r="K85"/>
  <c r="L85" s="1"/>
  <c r="K112"/>
  <c r="L112" s="1"/>
  <c r="K6"/>
  <c r="L6" s="1"/>
  <c r="K47"/>
  <c r="L47" s="1"/>
  <c r="K81"/>
  <c r="L81" s="1"/>
  <c r="K136"/>
  <c r="L136" s="1"/>
  <c r="K184"/>
  <c r="L184" s="1"/>
  <c r="K80"/>
  <c r="L80" s="1"/>
  <c r="K41"/>
  <c r="L41" s="1"/>
  <c r="K168"/>
  <c r="L168" s="1"/>
  <c r="K224"/>
  <c r="L224" s="1"/>
  <c r="K102"/>
  <c r="L102" s="1"/>
  <c r="K166"/>
  <c r="L166" s="1"/>
  <c r="K35"/>
  <c r="L35" s="1"/>
  <c r="K71"/>
  <c r="L71" s="1"/>
  <c r="K99"/>
  <c r="L99" s="1"/>
  <c r="K98"/>
  <c r="L98" s="1"/>
  <c r="K29"/>
  <c r="L29" s="1"/>
  <c r="K65"/>
  <c r="L65" s="1"/>
  <c r="K175"/>
  <c r="L175" s="1"/>
  <c r="K162"/>
  <c r="L162" s="1"/>
  <c r="K236"/>
  <c r="L236" s="1"/>
  <c r="K15"/>
  <c r="L15" s="1"/>
  <c r="K21"/>
  <c r="L21" s="1"/>
  <c r="K27"/>
  <c r="L27" s="1"/>
  <c r="K33"/>
  <c r="L33" s="1"/>
  <c r="K39"/>
  <c r="L39" s="1"/>
  <c r="K45"/>
  <c r="L45" s="1"/>
  <c r="K51"/>
  <c r="L51" s="1"/>
  <c r="K57"/>
  <c r="L57" s="1"/>
  <c r="K63"/>
  <c r="L63" s="1"/>
  <c r="K69"/>
  <c r="L69" s="1"/>
  <c r="K75"/>
  <c r="L75" s="1"/>
  <c r="K89"/>
  <c r="L89" s="1"/>
  <c r="K107"/>
  <c r="L107" s="1"/>
  <c r="K116"/>
  <c r="L116" s="1"/>
  <c r="K121"/>
  <c r="L121" s="1"/>
  <c r="K130"/>
  <c r="L130" s="1"/>
  <c r="K139"/>
  <c r="L139" s="1"/>
  <c r="K156"/>
  <c r="L156" s="1"/>
  <c r="K183"/>
  <c r="L183" s="1"/>
  <c r="K206"/>
  <c r="L206" s="1"/>
  <c r="K212"/>
  <c r="L212" s="1"/>
  <c r="K232"/>
  <c r="L232" s="1"/>
  <c r="K211"/>
  <c r="L211" s="1"/>
  <c r="K205"/>
  <c r="L205" s="1"/>
  <c r="K174"/>
  <c r="L174" s="1"/>
  <c r="K167"/>
  <c r="L167" s="1"/>
  <c r="K9"/>
  <c r="L9" s="1"/>
  <c r="K84"/>
  <c r="L84" s="1"/>
  <c r="K93"/>
  <c r="L93" s="1"/>
  <c r="K111"/>
  <c r="L111" s="1"/>
  <c r="K125"/>
  <c r="L125" s="1"/>
  <c r="K134"/>
  <c r="L134" s="1"/>
  <c r="K144"/>
  <c r="L144" s="1"/>
  <c r="K149"/>
  <c r="L149" s="1"/>
  <c r="K164"/>
  <c r="L164" s="1"/>
  <c r="K173"/>
  <c r="L173" s="1"/>
  <c r="K192"/>
  <c r="L192" s="1"/>
  <c r="K219"/>
  <c r="L219" s="1"/>
  <c r="K227"/>
  <c r="L227" s="1"/>
  <c r="K218"/>
  <c r="L218" s="1"/>
  <c r="K194"/>
  <c r="L194" s="1"/>
  <c r="K187"/>
  <c r="L187" s="1"/>
  <c r="K238"/>
  <c r="L238" s="1"/>
  <c r="K3"/>
  <c r="L3" s="1"/>
  <c r="K8"/>
  <c r="L8" s="1"/>
  <c r="K13"/>
  <c r="L13" s="1"/>
  <c r="K19"/>
  <c r="L19" s="1"/>
  <c r="K25"/>
  <c r="L25" s="1"/>
  <c r="K31"/>
  <c r="L31" s="1"/>
  <c r="K37"/>
  <c r="L37" s="1"/>
  <c r="K43"/>
  <c r="L43" s="1"/>
  <c r="K49"/>
  <c r="L49" s="1"/>
  <c r="K55"/>
  <c r="L55" s="1"/>
  <c r="K61"/>
  <c r="L61" s="1"/>
  <c r="K67"/>
  <c r="L67" s="1"/>
  <c r="K73"/>
  <c r="L73" s="1"/>
  <c r="K78"/>
  <c r="L78" s="1"/>
  <c r="K92"/>
  <c r="L92" s="1"/>
  <c r="K105"/>
  <c r="L105" s="1"/>
  <c r="K119"/>
  <c r="L119" s="1"/>
  <c r="K133"/>
  <c r="L133" s="1"/>
  <c r="K161"/>
  <c r="L161" s="1"/>
  <c r="K180"/>
  <c r="L180" s="1"/>
  <c r="K217"/>
  <c r="L217" s="1"/>
  <c r="K228"/>
  <c r="L228" s="1"/>
  <c r="K229"/>
  <c r="L229" s="1"/>
  <c r="K179"/>
  <c r="L179" s="1"/>
  <c r="K170"/>
  <c r="L170" s="1"/>
  <c r="K163"/>
  <c r="L163" s="1"/>
  <c r="K96"/>
  <c r="L96" s="1"/>
  <c r="K100"/>
  <c r="L100" s="1"/>
  <c r="K114"/>
  <c r="L114" s="1"/>
  <c r="K128"/>
  <c r="L128" s="1"/>
  <c r="K147"/>
  <c r="L147" s="1"/>
  <c r="K152"/>
  <c r="L152" s="1"/>
  <c r="K169"/>
  <c r="L169" s="1"/>
  <c r="K188"/>
  <c r="L188" s="1"/>
  <c r="K200"/>
  <c r="L200" s="1"/>
  <c r="K209"/>
  <c r="L209" s="1"/>
  <c r="K223"/>
  <c r="L223" s="1"/>
  <c r="K199"/>
  <c r="L199" s="1"/>
  <c r="K186"/>
  <c r="L186" s="1"/>
  <c r="K240"/>
  <c r="L240" s="1"/>
  <c r="K136" i="6"/>
  <c r="L136" s="1"/>
  <c r="K105"/>
  <c r="L105" s="1"/>
  <c r="K133"/>
  <c r="L133" s="1"/>
  <c r="K214"/>
  <c r="L214" s="1"/>
  <c r="K180"/>
  <c r="L180" s="1"/>
  <c r="K168"/>
  <c r="L168" s="1"/>
  <c r="K218"/>
  <c r="L218" s="1"/>
  <c r="K179"/>
  <c r="L179" s="1"/>
  <c r="K17"/>
  <c r="L17" s="1"/>
  <c r="K96"/>
  <c r="L96" s="1"/>
  <c r="K187"/>
  <c r="L187" s="1"/>
  <c r="K143"/>
  <c r="L143" s="1"/>
  <c r="K44"/>
  <c r="L44" s="1"/>
  <c r="K224"/>
  <c r="L224" s="1"/>
  <c r="K6"/>
  <c r="L6" s="1"/>
  <c r="K55"/>
  <c r="L55" s="1"/>
  <c r="K95"/>
  <c r="L95" s="1"/>
  <c r="K188"/>
  <c r="L188" s="1"/>
  <c r="K145"/>
  <c r="L145" s="1"/>
  <c r="K98"/>
  <c r="L98" s="1"/>
  <c r="K46"/>
  <c r="L46" s="1"/>
  <c r="K228"/>
  <c r="L228" s="1"/>
  <c r="K4"/>
  <c r="L4" s="1"/>
  <c r="K53"/>
  <c r="L53" s="1"/>
  <c r="K197"/>
  <c r="L197" s="1"/>
  <c r="K170"/>
  <c r="L170" s="1"/>
  <c r="K209"/>
  <c r="L209" s="1"/>
  <c r="K157"/>
  <c r="L157" s="1"/>
  <c r="K110"/>
  <c r="L110" s="1"/>
  <c r="K59"/>
  <c r="L59" s="1"/>
  <c r="K41"/>
  <c r="L41" s="1"/>
  <c r="K81"/>
  <c r="L81" s="1"/>
  <c r="K165"/>
  <c r="L165" s="1"/>
  <c r="K119"/>
  <c r="L119" s="1"/>
  <c r="K20"/>
  <c r="L20" s="1"/>
  <c r="K239"/>
  <c r="L239" s="1"/>
  <c r="K73"/>
  <c r="L73" s="1"/>
  <c r="K31"/>
  <c r="L31" s="1"/>
  <c r="K76"/>
  <c r="L76" s="1"/>
  <c r="K29"/>
  <c r="L29" s="1"/>
  <c r="K116"/>
  <c r="L116" s="1"/>
  <c r="K158"/>
  <c r="L158" s="1"/>
  <c r="K202"/>
  <c r="L202" s="1"/>
  <c r="K107"/>
  <c r="L107" s="1"/>
  <c r="K19"/>
  <c r="L19" s="1"/>
  <c r="K131"/>
  <c r="L131" s="1"/>
  <c r="K177"/>
  <c r="L177" s="1"/>
  <c r="G6" i="8"/>
  <c r="E6" s="1"/>
  <c r="G4"/>
  <c r="E4" s="1"/>
  <c r="G11"/>
  <c r="E11" s="1"/>
  <c r="G8" i="11"/>
  <c r="B8" i="7"/>
  <c r="B8" i="8"/>
  <c r="B8" i="5"/>
  <c r="B8" i="4"/>
  <c r="G13" i="11"/>
  <c r="B13" i="6"/>
  <c r="J241" s="1"/>
  <c r="B13" i="5"/>
  <c r="J241" s="1"/>
  <c r="B13" i="4"/>
  <c r="G15" i="11"/>
  <c r="B15" i="7"/>
  <c r="B15" i="8"/>
  <c r="B15" i="6"/>
  <c r="J13" s="1"/>
  <c r="B15" i="5"/>
  <c r="J13" s="1"/>
  <c r="G17" i="11"/>
  <c r="B17" i="8"/>
  <c r="B17" i="5"/>
  <c r="J19" s="1"/>
  <c r="B20" i="4"/>
  <c r="G20" i="11"/>
  <c r="B20" i="6"/>
  <c r="J34" s="1"/>
  <c r="B20" i="8"/>
  <c r="G22" i="11"/>
  <c r="B22" i="8"/>
  <c r="B22" i="7"/>
  <c r="B22" i="5"/>
  <c r="G24" i="11"/>
  <c r="B24" i="8"/>
  <c r="B24" i="7"/>
  <c r="G26" i="11"/>
  <c r="B26" i="8"/>
  <c r="B26" i="6"/>
  <c r="B26" i="4"/>
  <c r="G28" i="11"/>
  <c r="B28" i="8"/>
  <c r="B28" i="6"/>
  <c r="J72" s="1"/>
  <c r="B28" i="7"/>
  <c r="B28" i="5"/>
  <c r="J58" s="1"/>
  <c r="B28" i="4"/>
  <c r="B31"/>
  <c r="B31" i="6"/>
  <c r="J8" s="1"/>
  <c r="B31" i="7"/>
  <c r="G33" i="11"/>
  <c r="B33" i="6"/>
  <c r="J28" s="1"/>
  <c r="B33" i="7"/>
  <c r="B33" i="8"/>
  <c r="B33" i="4"/>
  <c r="G35" i="11"/>
  <c r="B35" i="8"/>
  <c r="B35" i="6"/>
  <c r="J37" s="1"/>
  <c r="B35" i="7"/>
  <c r="B35" i="4"/>
  <c r="G37" i="11"/>
  <c r="B37" i="7"/>
  <c r="B37" i="6"/>
  <c r="J7" s="1"/>
  <c r="B37" i="5"/>
  <c r="J57" s="1"/>
  <c r="G39" i="11"/>
  <c r="B39" i="6"/>
  <c r="J24" s="1"/>
  <c r="B39" i="7"/>
  <c r="B39" i="8"/>
  <c r="B39" i="4"/>
  <c r="B42" i="7"/>
  <c r="G42" i="11"/>
  <c r="B42" i="5"/>
  <c r="J27" s="1"/>
  <c r="G44" i="11"/>
  <c r="B44" i="8"/>
  <c r="B44" i="6"/>
  <c r="J62" s="1"/>
  <c r="B44" i="7"/>
  <c r="B44" i="5"/>
  <c r="J10" s="1"/>
  <c r="B44" i="4"/>
  <c r="G46" i="11"/>
  <c r="B46" i="6"/>
  <c r="B46" i="7"/>
  <c r="B46" i="5"/>
  <c r="J63" s="1"/>
  <c r="B46" i="4"/>
  <c r="G48" i="11"/>
  <c r="B48" i="8"/>
  <c r="B48" i="6"/>
  <c r="J47" s="1"/>
  <c r="B48" i="7"/>
  <c r="B51"/>
  <c r="G51" i="11"/>
  <c r="B51" i="6"/>
  <c r="J57" s="1"/>
  <c r="B51" i="4"/>
  <c r="G53" i="11"/>
  <c r="B53" i="6"/>
  <c r="J11" s="1"/>
  <c r="B53" i="5"/>
  <c r="B53" i="4"/>
  <c r="G55" i="11"/>
  <c r="B55" i="8"/>
  <c r="B55" i="6"/>
  <c r="B55" i="5"/>
  <c r="J60" s="1"/>
  <c r="G57" i="11"/>
  <c r="B57" i="7"/>
  <c r="B57" i="5"/>
  <c r="J33" s="1"/>
  <c r="B57" i="8"/>
  <c r="B57" i="4"/>
  <c r="G59" i="11"/>
  <c r="B59" i="8"/>
  <c r="B59" i="4"/>
  <c r="G64" i="11"/>
  <c r="B64" i="7"/>
  <c r="B64" i="8"/>
  <c r="B64" i="6"/>
  <c r="B64" i="5"/>
  <c r="J54" s="1"/>
  <c r="G66" i="11"/>
  <c r="B66" i="6"/>
  <c r="G68" i="11"/>
  <c r="B68" i="6"/>
  <c r="B68" i="7"/>
  <c r="B68" i="5"/>
  <c r="J64" s="1"/>
  <c r="B68" i="4"/>
  <c r="G75" i="11"/>
  <c r="B75" i="7"/>
  <c r="B75" i="4"/>
  <c r="G77" i="11"/>
  <c r="B77" i="8"/>
  <c r="B77" i="6"/>
  <c r="J16" s="1"/>
  <c r="B77" i="7"/>
  <c r="B77" i="5"/>
  <c r="B77" i="4"/>
  <c r="B86" i="5"/>
  <c r="G86" i="11"/>
  <c r="B86" i="4"/>
  <c r="G109" i="11"/>
  <c r="B109" i="7"/>
  <c r="B109" i="8"/>
  <c r="B109" i="6"/>
  <c r="J210" s="1"/>
  <c r="B109" i="4"/>
  <c r="G111" i="11"/>
  <c r="B111" i="8"/>
  <c r="B111" i="6"/>
  <c r="B111" i="7"/>
  <c r="G113" i="11"/>
  <c r="B113" i="8"/>
  <c r="B113" i="6"/>
  <c r="J206" s="1"/>
  <c r="B113" i="4"/>
  <c r="G115" i="11"/>
  <c r="B115" i="8"/>
  <c r="B115" i="6"/>
  <c r="J204" s="1"/>
  <c r="B115" i="4"/>
  <c r="B118" i="7"/>
  <c r="B118" i="6"/>
  <c r="J201" s="1"/>
  <c r="G120" i="11"/>
  <c r="B120" i="8"/>
  <c r="B120" i="7"/>
  <c r="B120" i="6"/>
  <c r="J199" s="1"/>
  <c r="B120" i="5"/>
  <c r="J199" s="1"/>
  <c r="G122" i="11"/>
  <c r="B122" i="8"/>
  <c r="B122" i="6"/>
  <c r="G124" i="11"/>
  <c r="B124" i="6"/>
  <c r="J195" s="1"/>
  <c r="B124" i="7"/>
  <c r="G126" i="11"/>
  <c r="B126" i="6"/>
  <c r="J193" s="1"/>
  <c r="B126" i="7"/>
  <c r="B126" i="5"/>
  <c r="J193" s="1"/>
  <c r="G128" i="11"/>
  <c r="B128" i="7"/>
  <c r="B128" i="8"/>
  <c r="B128" i="4"/>
  <c r="G130" i="11"/>
  <c r="B130" i="8"/>
  <c r="B130" i="6"/>
  <c r="J189" s="1"/>
  <c r="B130" i="7"/>
  <c r="B130" i="5"/>
  <c r="J189" s="1"/>
  <c r="G139" i="11"/>
  <c r="B139" i="6"/>
  <c r="B139" i="8"/>
  <c r="B139" i="5"/>
  <c r="J180" s="1"/>
  <c r="B139" i="4"/>
  <c r="G141" i="11"/>
  <c r="B141" i="8"/>
  <c r="B141" i="6"/>
  <c r="B141" i="7"/>
  <c r="B141" i="5"/>
  <c r="J178" s="1"/>
  <c r="G143" i="11"/>
  <c r="B143" i="8"/>
  <c r="B143" i="6"/>
  <c r="J176" s="1"/>
  <c r="B143" i="7"/>
  <c r="G145" i="11"/>
  <c r="B145" i="8"/>
  <c r="B145" i="6"/>
  <c r="J174" s="1"/>
  <c r="B145" i="7"/>
  <c r="B145" i="5"/>
  <c r="J174" s="1"/>
  <c r="B150" i="8"/>
  <c r="B150" i="4"/>
  <c r="G152" i="11"/>
  <c r="B152" i="8"/>
  <c r="B152" i="7"/>
  <c r="B152" i="6"/>
  <c r="J167" s="1"/>
  <c r="B152" i="5"/>
  <c r="J167" s="1"/>
  <c r="G154" i="11"/>
  <c r="B154" i="7"/>
  <c r="B154" i="6"/>
  <c r="B154" i="5"/>
  <c r="J165" s="1"/>
  <c r="G159" i="11"/>
  <c r="B159" i="6"/>
  <c r="B159" i="7"/>
  <c r="B159" i="8"/>
  <c r="B159" i="5"/>
  <c r="J160" s="1"/>
  <c r="B159" i="4"/>
  <c r="G161" i="11"/>
  <c r="B161" i="6"/>
  <c r="B161" i="7"/>
  <c r="B161" i="5"/>
  <c r="J158" s="1"/>
  <c r="B161" i="4"/>
  <c r="G175" i="11"/>
  <c r="B175" i="8"/>
  <c r="B175" i="6"/>
  <c r="J144" s="1"/>
  <c r="B175" i="5"/>
  <c r="J144" s="1"/>
  <c r="B175" i="7"/>
  <c r="G177" i="11"/>
  <c r="B177" i="8"/>
  <c r="B177" i="5"/>
  <c r="B177" i="6"/>
  <c r="J142" s="1"/>
  <c r="B177" i="7"/>
  <c r="B177" i="4"/>
  <c r="G179" i="11"/>
  <c r="B179" i="7"/>
  <c r="B179" i="5"/>
  <c r="B179" i="4"/>
  <c r="B182" i="6"/>
  <c r="J137" s="1"/>
  <c r="B182" i="4"/>
  <c r="B182" i="5"/>
  <c r="B182" i="7"/>
  <c r="G184" i="11"/>
  <c r="B184" i="6"/>
  <c r="J135" s="1"/>
  <c r="B184" i="5"/>
  <c r="J135" s="1"/>
  <c r="G195" i="11"/>
  <c r="B195" i="8"/>
  <c r="B195" i="7"/>
  <c r="B195" i="6"/>
  <c r="J124" s="1"/>
  <c r="B195" i="4"/>
  <c r="G197" i="11"/>
  <c r="B197" i="8"/>
  <c r="B197" i="7"/>
  <c r="B197" i="6"/>
  <c r="J122" s="1"/>
  <c r="B197" i="5"/>
  <c r="J122" s="1"/>
  <c r="B197" i="4"/>
  <c r="B206" i="8"/>
  <c r="B206" i="6"/>
  <c r="J113" s="1"/>
  <c r="G208" i="11"/>
  <c r="B208" i="6"/>
  <c r="J111" s="1"/>
  <c r="B208" i="7"/>
  <c r="J36" s="1"/>
  <c r="B208" i="8"/>
  <c r="B208" i="5"/>
  <c r="J111" s="1"/>
  <c r="G217" i="11"/>
  <c r="B217" i="6"/>
  <c r="J102" s="1"/>
  <c r="B217" i="8"/>
  <c r="G224" i="11"/>
  <c r="B224" i="8"/>
  <c r="G226" i="11"/>
  <c r="B226" i="8"/>
  <c r="G231" i="11"/>
  <c r="B231" i="6"/>
  <c r="J88" s="1"/>
  <c r="B231" i="7"/>
  <c r="B231" i="4"/>
  <c r="G233" i="11"/>
  <c r="B233" i="6"/>
  <c r="J86" s="1"/>
  <c r="B233" i="8"/>
  <c r="B233" i="5"/>
  <c r="B233" i="4"/>
  <c r="N30" i="3"/>
  <c r="N13"/>
  <c r="C7" i="11" s="1"/>
  <c r="E7" s="1"/>
  <c r="N27" i="3"/>
  <c r="N8"/>
  <c r="N67"/>
  <c r="C53" i="11" s="1"/>
  <c r="E53" s="1"/>
  <c r="M246" i="3"/>
  <c r="M95"/>
  <c r="M90"/>
  <c r="N90" s="1"/>
  <c r="C73" i="11" s="1"/>
  <c r="E73" s="1"/>
  <c r="N88" i="3"/>
  <c r="C71" i="11" s="1"/>
  <c r="E71" s="1"/>
  <c r="M87" i="3"/>
  <c r="N87" s="1"/>
  <c r="C70" i="11" s="1"/>
  <c r="E70" s="1"/>
  <c r="M85" i="3"/>
  <c r="M80"/>
  <c r="N80" s="1"/>
  <c r="C64" i="11" s="1"/>
  <c r="E64" s="1"/>
  <c r="M75" i="3"/>
  <c r="N75" s="1"/>
  <c r="C60" i="11" s="1"/>
  <c r="E60" s="1"/>
  <c r="N16" i="3"/>
  <c r="C9" i="11" s="1"/>
  <c r="E9" s="1"/>
  <c r="M15" i="3"/>
  <c r="M12"/>
  <c r="N12" s="1"/>
  <c r="C6" i="11" s="1"/>
  <c r="E6" s="1"/>
  <c r="M9" i="3"/>
  <c r="M11"/>
  <c r="N11" s="1"/>
  <c r="C5" i="11" s="1"/>
  <c r="E5" s="1"/>
  <c r="N37" i="3"/>
  <c r="C27" i="11" s="1"/>
  <c r="E27" s="1"/>
  <c r="N39" i="3"/>
  <c r="C29" i="11" s="1"/>
  <c r="E29" s="1"/>
  <c r="N44" i="3"/>
  <c r="N69"/>
  <c r="C55" i="11" s="1"/>
  <c r="E55" s="1"/>
  <c r="M76" i="3"/>
  <c r="N76" s="1"/>
  <c r="C61" i="11" s="1"/>
  <c r="E61" s="1"/>
  <c r="M79" i="3"/>
  <c r="M81"/>
  <c r="N81" s="1"/>
  <c r="C65" i="11" s="1"/>
  <c r="E65" s="1"/>
  <c r="M83" i="3"/>
  <c r="N83" s="1"/>
  <c r="C67" i="11" s="1"/>
  <c r="E67" s="1"/>
  <c r="M100" i="3"/>
  <c r="N100" s="1"/>
  <c r="C81" i="11" s="1"/>
  <c r="E81" s="1"/>
  <c r="M102" i="3"/>
  <c r="N102" s="1"/>
  <c r="C83" i="11" s="1"/>
  <c r="E83" s="1"/>
  <c r="M104" i="3"/>
  <c r="N104" s="1"/>
  <c r="C85" i="11" s="1"/>
  <c r="E85" s="1"/>
  <c r="O201" i="3"/>
  <c r="M242"/>
  <c r="N242" s="1"/>
  <c r="C203" i="11" s="1"/>
  <c r="E203" s="1"/>
  <c r="O264" i="3"/>
  <c r="O271"/>
  <c r="M282"/>
  <c r="M284"/>
  <c r="N284" s="1"/>
  <c r="C239" i="11" s="1"/>
  <c r="E239" s="1"/>
  <c r="N274" i="3"/>
  <c r="O278"/>
  <c r="N162"/>
  <c r="O166"/>
  <c r="O152"/>
  <c r="N149"/>
  <c r="N253"/>
  <c r="O257"/>
  <c r="N78"/>
  <c r="N64"/>
  <c r="O68"/>
  <c r="K153" i="5"/>
  <c r="L153" s="1"/>
  <c r="K151"/>
  <c r="L151" s="1"/>
  <c r="K86"/>
  <c r="L86" s="1"/>
  <c r="K8"/>
  <c r="L8" s="1"/>
  <c r="K101"/>
  <c r="L101" s="1"/>
  <c r="K61"/>
  <c r="L61" s="1"/>
  <c r="K188"/>
  <c r="L188" s="1"/>
  <c r="K146"/>
  <c r="L146" s="1"/>
  <c r="K149"/>
  <c r="L149" s="1"/>
  <c r="K202"/>
  <c r="L202" s="1"/>
  <c r="K171"/>
  <c r="L171" s="1"/>
  <c r="K106"/>
  <c r="L106" s="1"/>
  <c r="K20"/>
  <c r="L20" s="1"/>
  <c r="K222"/>
  <c r="L222" s="1"/>
  <c r="K234"/>
  <c r="L234" s="1"/>
  <c r="K235"/>
  <c r="L235" s="1"/>
  <c r="K206"/>
  <c r="L206" s="1"/>
  <c r="K119"/>
  <c r="L119" s="1"/>
  <c r="K43"/>
  <c r="L43" s="1"/>
  <c r="K5"/>
  <c r="L5" s="1"/>
  <c r="K215"/>
  <c r="L215" s="1"/>
  <c r="K133"/>
  <c r="L133" s="1"/>
  <c r="K163"/>
  <c r="L163" s="1"/>
  <c r="K123"/>
  <c r="L123" s="1"/>
  <c r="K7"/>
  <c r="L7" s="1"/>
  <c r="K219"/>
  <c r="L219" s="1"/>
  <c r="K137"/>
  <c r="L137" s="1"/>
  <c r="K134"/>
  <c r="L134" s="1"/>
  <c r="K183"/>
  <c r="L183" s="1"/>
  <c r="K148"/>
  <c r="L148" s="1"/>
  <c r="K132"/>
  <c r="L132" s="1"/>
  <c r="K35"/>
  <c r="L35" s="1"/>
  <c r="K157"/>
  <c r="L157" s="1"/>
  <c r="K233"/>
  <c r="L233" s="1"/>
  <c r="K108"/>
  <c r="L108" s="1"/>
  <c r="K186"/>
  <c r="L186" s="1"/>
  <c r="K162"/>
  <c r="L162" s="1"/>
  <c r="K168"/>
  <c r="L168" s="1"/>
  <c r="K128"/>
  <c r="L128" s="1"/>
  <c r="K226"/>
  <c r="L226" s="1"/>
  <c r="K136"/>
  <c r="L136" s="1"/>
  <c r="K81"/>
  <c r="L81" s="1"/>
  <c r="K209"/>
  <c r="L209" s="1"/>
  <c r="K184"/>
  <c r="L184" s="1"/>
  <c r="K179"/>
  <c r="L179" s="1"/>
  <c r="K232"/>
  <c r="L232" s="1"/>
  <c r="K238"/>
  <c r="L238" s="1"/>
  <c r="K140"/>
  <c r="L140" s="1"/>
  <c r="K72"/>
  <c r="L72" s="1"/>
  <c r="K103"/>
  <c r="L103" s="1"/>
  <c r="K224"/>
  <c r="L224" s="1"/>
  <c r="K143"/>
  <c r="L143" s="1"/>
  <c r="K240"/>
  <c r="L240" s="1"/>
  <c r="K142"/>
  <c r="L142" s="1"/>
  <c r="K231"/>
  <c r="L231" s="1"/>
  <c r="K201"/>
  <c r="L201" s="1"/>
  <c r="K94"/>
  <c r="L94" s="1"/>
  <c r="K182"/>
  <c r="L182" s="1"/>
  <c r="K217"/>
  <c r="L217" s="1"/>
  <c r="K15"/>
  <c r="L15" s="1"/>
  <c r="K84"/>
  <c r="L84" s="1"/>
  <c r="E234" i="4"/>
  <c r="G234"/>
  <c r="E232"/>
  <c r="G232"/>
  <c r="E228"/>
  <c r="G228"/>
  <c r="E146"/>
  <c r="G146"/>
  <c r="E144"/>
  <c r="G144"/>
  <c r="E140"/>
  <c r="G140"/>
  <c r="E114"/>
  <c r="G114"/>
  <c r="E112"/>
  <c r="G112"/>
  <c r="G100"/>
  <c r="E100"/>
  <c r="E91"/>
  <c r="G91"/>
  <c r="G64"/>
  <c r="E64" s="1"/>
  <c r="G49"/>
  <c r="E49" s="1"/>
  <c r="G27"/>
  <c r="E27" s="1"/>
  <c r="G9"/>
  <c r="E9" s="1"/>
  <c r="N73" i="3"/>
  <c r="N36"/>
  <c r="E57" i="4"/>
  <c r="E25"/>
  <c r="B53" i="8"/>
  <c r="B66"/>
  <c r="B68"/>
  <c r="B75"/>
  <c r="B124"/>
  <c r="B86"/>
  <c r="B126"/>
  <c r="B46"/>
  <c r="B154"/>
  <c r="B161"/>
  <c r="B179"/>
  <c r="B184"/>
  <c r="M226" i="3"/>
  <c r="N226" s="1"/>
  <c r="C189" i="11" s="1"/>
  <c r="E189" s="1"/>
  <c r="M225" i="3"/>
  <c r="M220"/>
  <c r="M215"/>
  <c r="N215" s="1"/>
  <c r="C180" i="11" s="1"/>
  <c r="E180" s="1"/>
  <c r="M212" i="3"/>
  <c r="M206"/>
  <c r="N206" s="1"/>
  <c r="C172" i="11" s="1"/>
  <c r="E172" s="1"/>
  <c r="M205" i="3"/>
  <c r="N205" s="1"/>
  <c r="C171" i="11" s="1"/>
  <c r="E171" s="1"/>
  <c r="E229" i="4"/>
  <c r="G229"/>
  <c r="G27" i="8"/>
  <c r="E27" s="1"/>
  <c r="E61"/>
  <c r="G61"/>
  <c r="G73"/>
  <c r="E73"/>
  <c r="E86"/>
  <c r="G86"/>
  <c r="E94"/>
  <c r="G94"/>
  <c r="E98"/>
  <c r="G98"/>
  <c r="G119"/>
  <c r="E119"/>
  <c r="G129"/>
  <c r="E129"/>
  <c r="G141"/>
  <c r="E141"/>
  <c r="G167"/>
  <c r="E167"/>
  <c r="E187"/>
  <c r="G187"/>
  <c r="E209"/>
  <c r="G209"/>
  <c r="E219"/>
  <c r="G219"/>
  <c r="F9" i="11"/>
  <c r="F11"/>
  <c r="E3" i="10"/>
  <c r="F11" i="8"/>
  <c r="F10"/>
  <c r="F8"/>
  <c r="F13"/>
  <c r="F8" i="6"/>
  <c r="M77" s="1"/>
  <c r="F9"/>
  <c r="M30" s="1"/>
  <c r="F12"/>
  <c r="M66" s="1"/>
  <c r="F13"/>
  <c r="M241" s="1"/>
  <c r="F10" i="7"/>
  <c r="F12"/>
  <c r="F13"/>
  <c r="F8" i="5"/>
  <c r="F10"/>
  <c r="M22" s="1"/>
  <c r="F13"/>
  <c r="M241" s="1"/>
  <c r="B4" i="16"/>
  <c r="F25" i="11"/>
  <c r="F23"/>
  <c r="F21"/>
  <c r="F22"/>
  <c r="E5" i="10"/>
  <c r="F22" i="8"/>
  <c r="F20"/>
  <c r="F23"/>
  <c r="F25"/>
  <c r="F20" i="6"/>
  <c r="M34" s="1"/>
  <c r="F21"/>
  <c r="M42" s="1"/>
  <c r="F22"/>
  <c r="M35" s="1"/>
  <c r="F23"/>
  <c r="M58" s="1"/>
  <c r="F20" i="7"/>
  <c r="F22"/>
  <c r="F23"/>
  <c r="F24"/>
  <c r="F25"/>
  <c r="B6" i="16"/>
  <c r="F34" i="11"/>
  <c r="F37"/>
  <c r="F36" i="8"/>
  <c r="F37"/>
  <c r="F33"/>
  <c r="F33" i="6"/>
  <c r="M28" s="1"/>
  <c r="F37"/>
  <c r="M7" s="1"/>
  <c r="F34" i="7"/>
  <c r="F35"/>
  <c r="E9" i="9"/>
  <c r="F47" i="11"/>
  <c r="E9" i="10"/>
  <c r="F49" i="11"/>
  <c r="F49" i="8"/>
  <c r="F46"/>
  <c r="F47"/>
  <c r="F45"/>
  <c r="F45" i="6"/>
  <c r="M40" s="1"/>
  <c r="F48"/>
  <c r="M47" s="1"/>
  <c r="F46" i="7"/>
  <c r="F45" i="5"/>
  <c r="M26" s="1"/>
  <c r="F48"/>
  <c r="M12" s="1"/>
  <c r="B13" i="16"/>
  <c r="F79" i="11"/>
  <c r="F75"/>
  <c r="E14" i="9"/>
  <c r="F77" i="11"/>
  <c r="E14" i="10"/>
  <c r="F79" i="8"/>
  <c r="F76"/>
  <c r="F75"/>
  <c r="F77" i="6"/>
  <c r="M16" s="1"/>
  <c r="F75" i="7"/>
  <c r="F76"/>
  <c r="F78"/>
  <c r="F79"/>
  <c r="B23" i="16"/>
  <c r="E24" i="9"/>
  <c r="F138" i="11"/>
  <c r="F134"/>
  <c r="E24" i="10"/>
  <c r="F139" i="8"/>
  <c r="F134"/>
  <c r="F138"/>
  <c r="F136"/>
  <c r="F136" i="6"/>
  <c r="M183" s="1"/>
  <c r="F134"/>
  <c r="M185" s="1"/>
  <c r="F139" i="7"/>
  <c r="F138"/>
  <c r="F137"/>
  <c r="F135"/>
  <c r="M109" s="1"/>
  <c r="F239" i="11"/>
  <c r="F241"/>
  <c r="E41" i="10"/>
  <c r="E41" i="9"/>
  <c r="F241" i="8"/>
  <c r="F240"/>
  <c r="F241" i="6"/>
  <c r="M78" s="1"/>
  <c r="F239"/>
  <c r="M80" s="1"/>
  <c r="F236"/>
  <c r="M83" s="1"/>
  <c r="F238" i="7"/>
  <c r="F237"/>
  <c r="F236"/>
  <c r="F241" i="5"/>
  <c r="M78" s="1"/>
  <c r="F240"/>
  <c r="M79" s="1"/>
  <c r="F237"/>
  <c r="M82" s="1"/>
  <c r="F217" i="11"/>
  <c r="F213"/>
  <c r="F215"/>
  <c r="E37" i="10"/>
  <c r="F217" i="8"/>
  <c r="F216"/>
  <c r="F215"/>
  <c r="F214"/>
  <c r="F216" i="6"/>
  <c r="M103" s="1"/>
  <c r="F215"/>
  <c r="M104" s="1"/>
  <c r="F213"/>
  <c r="M106" s="1"/>
  <c r="F217" i="7"/>
  <c r="F216"/>
  <c r="F212"/>
  <c r="E79" i="4"/>
  <c r="N281" i="3"/>
  <c r="B3" i="16"/>
  <c r="F19" i="11"/>
  <c r="F17"/>
  <c r="F15"/>
  <c r="E4" i="10"/>
  <c r="B5" i="16"/>
  <c r="F31" i="11"/>
  <c r="F38"/>
  <c r="F42"/>
  <c r="E23" i="9"/>
  <c r="F132" i="11"/>
  <c r="F130"/>
  <c r="F128"/>
  <c r="E23" i="10"/>
  <c r="B24" i="16"/>
  <c r="F145" i="11"/>
  <c r="F143"/>
  <c r="F141"/>
  <c r="E25" i="10"/>
  <c r="M204" i="3"/>
  <c r="M74"/>
  <c r="A44" l="1"/>
  <c r="B7" i="10"/>
  <c r="D7" s="1"/>
  <c r="C152" i="11"/>
  <c r="E152" s="1"/>
  <c r="O188" i="3"/>
  <c r="C165" i="11"/>
  <c r="E165" s="1"/>
  <c r="O202" i="3"/>
  <c r="N174"/>
  <c r="O173"/>
  <c r="O145"/>
  <c r="N142"/>
  <c r="N135"/>
  <c r="O138"/>
  <c r="N58"/>
  <c r="O61"/>
  <c r="O26"/>
  <c r="N25"/>
  <c r="C17" i="11" s="1"/>
  <c r="E17" s="1"/>
  <c r="C90"/>
  <c r="E90" s="1"/>
  <c r="O111" i="3"/>
  <c r="M223" i="6"/>
  <c r="J223"/>
  <c r="J203" i="5"/>
  <c r="M203"/>
  <c r="J175"/>
  <c r="M175"/>
  <c r="J169" i="6"/>
  <c r="M169"/>
  <c r="M3"/>
  <c r="J3"/>
  <c r="J125"/>
  <c r="M125"/>
  <c r="J200"/>
  <c r="M200"/>
  <c r="J5"/>
  <c r="M5"/>
  <c r="M92"/>
  <c r="J92"/>
  <c r="M68"/>
  <c r="J68"/>
  <c r="J154"/>
  <c r="M154"/>
  <c r="J211"/>
  <c r="M211"/>
  <c r="J139"/>
  <c r="M139"/>
  <c r="J99"/>
  <c r="M99"/>
  <c r="J196"/>
  <c r="M196"/>
  <c r="M94"/>
  <c r="J94"/>
  <c r="M227"/>
  <c r="J227"/>
  <c r="J120"/>
  <c r="M120"/>
  <c r="M172"/>
  <c r="J172"/>
  <c r="J237"/>
  <c r="M237"/>
  <c r="J54"/>
  <c r="M54"/>
  <c r="M177" i="5"/>
  <c r="J177"/>
  <c r="M130" i="6"/>
  <c r="J130"/>
  <c r="M45"/>
  <c r="J45"/>
  <c r="J230"/>
  <c r="M230"/>
  <c r="M69"/>
  <c r="J69"/>
  <c r="M175"/>
  <c r="J175"/>
  <c r="M101"/>
  <c r="J101"/>
  <c r="M38"/>
  <c r="J38"/>
  <c r="M156"/>
  <c r="J156"/>
  <c r="M70"/>
  <c r="J70"/>
  <c r="J171"/>
  <c r="M171"/>
  <c r="M194"/>
  <c r="J194"/>
  <c r="J27"/>
  <c r="M27"/>
  <c r="J36"/>
  <c r="M36"/>
  <c r="J61"/>
  <c r="M61"/>
  <c r="M100"/>
  <c r="J100"/>
  <c r="J159"/>
  <c r="M159"/>
  <c r="J226"/>
  <c r="M226"/>
  <c r="M146"/>
  <c r="J146"/>
  <c r="J64"/>
  <c r="M64"/>
  <c r="J221"/>
  <c r="M221"/>
  <c r="M121"/>
  <c r="J121"/>
  <c r="J198"/>
  <c r="M198"/>
  <c r="M127" i="7"/>
  <c r="J127"/>
  <c r="J216"/>
  <c r="M216"/>
  <c r="M87"/>
  <c r="J87"/>
  <c r="J104"/>
  <c r="M104"/>
  <c r="J142"/>
  <c r="M142"/>
  <c r="J72"/>
  <c r="M72"/>
  <c r="J196" i="5"/>
  <c r="M196"/>
  <c r="M173"/>
  <c r="J173"/>
  <c r="M207"/>
  <c r="J207"/>
  <c r="M190"/>
  <c r="J190"/>
  <c r="M41"/>
  <c r="J41"/>
  <c r="J71"/>
  <c r="M71"/>
  <c r="J30"/>
  <c r="M30"/>
  <c r="J116"/>
  <c r="M116"/>
  <c r="M213"/>
  <c r="J213"/>
  <c r="M237"/>
  <c r="J237"/>
  <c r="M236"/>
  <c r="J236"/>
  <c r="M89"/>
  <c r="J89"/>
  <c r="M109"/>
  <c r="J109"/>
  <c r="J18"/>
  <c r="M18"/>
  <c r="J92"/>
  <c r="M92"/>
  <c r="J21"/>
  <c r="M21"/>
  <c r="J59"/>
  <c r="M59"/>
  <c r="J197"/>
  <c r="M197"/>
  <c r="M38"/>
  <c r="J38"/>
  <c r="M114"/>
  <c r="J114"/>
  <c r="M145"/>
  <c r="J145"/>
  <c r="J138"/>
  <c r="M138"/>
  <c r="M139"/>
  <c r="J139"/>
  <c r="M169"/>
  <c r="J169"/>
  <c r="J227"/>
  <c r="M227"/>
  <c r="M124"/>
  <c r="J124"/>
  <c r="J39"/>
  <c r="M39"/>
  <c r="M97"/>
  <c r="J97"/>
  <c r="M117"/>
  <c r="J117"/>
  <c r="J16"/>
  <c r="M16"/>
  <c r="M102"/>
  <c r="J102"/>
  <c r="M29"/>
  <c r="J29"/>
  <c r="J46"/>
  <c r="M46"/>
  <c r="J210"/>
  <c r="M210"/>
  <c r="M195"/>
  <c r="J195"/>
  <c r="M105"/>
  <c r="J105"/>
  <c r="M14"/>
  <c r="J14"/>
  <c r="J95"/>
  <c r="M95"/>
  <c r="M127"/>
  <c r="J127"/>
  <c r="M211"/>
  <c r="J211"/>
  <c r="J166"/>
  <c r="M166"/>
  <c r="J85"/>
  <c r="M85"/>
  <c r="M181"/>
  <c r="J181"/>
  <c r="J73"/>
  <c r="M73"/>
  <c r="J221"/>
  <c r="M221"/>
  <c r="M42"/>
  <c r="J42"/>
  <c r="J96"/>
  <c r="M96"/>
  <c r="J40"/>
  <c r="M40"/>
  <c r="J37"/>
  <c r="M37"/>
  <c r="J115"/>
  <c r="M115"/>
  <c r="M66"/>
  <c r="J66"/>
  <c r="M76"/>
  <c r="J76"/>
  <c r="M204"/>
  <c r="J204"/>
  <c r="M150"/>
  <c r="J150"/>
  <c r="J200"/>
  <c r="M200"/>
  <c r="M45"/>
  <c r="J45"/>
  <c r="J113"/>
  <c r="M113"/>
  <c r="M24"/>
  <c r="J24"/>
  <c r="M176"/>
  <c r="J176"/>
  <c r="M228"/>
  <c r="J228"/>
  <c r="J212"/>
  <c r="M212"/>
  <c r="M83"/>
  <c r="J83"/>
  <c r="M52"/>
  <c r="J52"/>
  <c r="J214"/>
  <c r="M214"/>
  <c r="C225" i="11"/>
  <c r="E225" s="1"/>
  <c r="O272" i="3"/>
  <c r="C219" i="11"/>
  <c r="E219" s="1"/>
  <c r="O265" i="3"/>
  <c r="N179"/>
  <c r="O180"/>
  <c r="N158"/>
  <c r="O159"/>
  <c r="N130"/>
  <c r="O131"/>
  <c r="N121"/>
  <c r="O124"/>
  <c r="B6" i="10"/>
  <c r="D6" s="1"/>
  <c r="A37" i="3"/>
  <c r="N32"/>
  <c r="C23" i="11" s="1"/>
  <c r="E23" s="1"/>
  <c r="O33" i="3"/>
  <c r="N190"/>
  <c r="O194"/>
  <c r="A107"/>
  <c r="B16" i="10"/>
  <c r="D16" s="1"/>
  <c r="M32" i="6"/>
  <c r="J32"/>
  <c r="M84"/>
  <c r="J84"/>
  <c r="M150"/>
  <c r="J150"/>
  <c r="M155" i="5"/>
  <c r="J155"/>
  <c r="M39" i="6"/>
  <c r="J39"/>
  <c r="M207"/>
  <c r="J207"/>
  <c r="J231"/>
  <c r="M231"/>
  <c r="J166"/>
  <c r="M166"/>
  <c r="M49"/>
  <c r="J49"/>
  <c r="J222"/>
  <c r="M222"/>
  <c r="M132"/>
  <c r="J132"/>
  <c r="M163"/>
  <c r="J163"/>
  <c r="M65"/>
  <c r="J65"/>
  <c r="J10"/>
  <c r="M10"/>
  <c r="J75"/>
  <c r="M75"/>
  <c r="J184"/>
  <c r="M184"/>
  <c r="M129"/>
  <c r="J129"/>
  <c r="J56"/>
  <c r="M56"/>
  <c r="M152"/>
  <c r="J152"/>
  <c r="M182"/>
  <c r="J182"/>
  <c r="J120" i="5"/>
  <c r="M120"/>
  <c r="J108" i="6"/>
  <c r="M108"/>
  <c r="J192"/>
  <c r="M192"/>
  <c r="J21"/>
  <c r="M21"/>
  <c r="M173"/>
  <c r="J173"/>
  <c r="M63"/>
  <c r="J63"/>
  <c r="J161"/>
  <c r="M161"/>
  <c r="M186"/>
  <c r="J186"/>
  <c r="M134"/>
  <c r="J134"/>
  <c r="M234"/>
  <c r="J234"/>
  <c r="J90"/>
  <c r="M90"/>
  <c r="J235"/>
  <c r="M235"/>
  <c r="M114"/>
  <c r="J114"/>
  <c r="M51"/>
  <c r="J51"/>
  <c r="J2"/>
  <c r="M2"/>
  <c r="M48"/>
  <c r="J48"/>
  <c r="J112"/>
  <c r="M112"/>
  <c r="M147"/>
  <c r="J147"/>
  <c r="M181"/>
  <c r="J181"/>
  <c r="J190"/>
  <c r="M190"/>
  <c r="M71"/>
  <c r="J71"/>
  <c r="M123"/>
  <c r="J123"/>
  <c r="M148"/>
  <c r="J148"/>
  <c r="J238"/>
  <c r="M238"/>
  <c r="M22"/>
  <c r="J22"/>
  <c r="J216"/>
  <c r="M216"/>
  <c r="J225"/>
  <c r="M225"/>
  <c r="M77" i="7"/>
  <c r="J77"/>
  <c r="J132"/>
  <c r="M132"/>
  <c r="J60"/>
  <c r="M60"/>
  <c r="M178"/>
  <c r="J178"/>
  <c r="J177"/>
  <c r="M177"/>
  <c r="M48"/>
  <c r="J48"/>
  <c r="M170" i="5"/>
  <c r="J170"/>
  <c r="M216"/>
  <c r="J216"/>
  <c r="M3"/>
  <c r="J3"/>
  <c r="M23"/>
  <c r="J23"/>
  <c r="J51"/>
  <c r="M51"/>
  <c r="M121"/>
  <c r="J121"/>
  <c r="J50"/>
  <c r="M50"/>
  <c r="J147"/>
  <c r="M147"/>
  <c r="M141"/>
  <c r="J141"/>
  <c r="J229"/>
  <c r="M229"/>
  <c r="M31"/>
  <c r="J31"/>
  <c r="J99"/>
  <c r="M99"/>
  <c r="J6"/>
  <c r="M6"/>
  <c r="M70"/>
  <c r="J70"/>
  <c r="J104"/>
  <c r="M104"/>
  <c r="M118"/>
  <c r="J118"/>
  <c r="J49"/>
  <c r="M49"/>
  <c r="J28"/>
  <c r="M28"/>
  <c r="M48"/>
  <c r="J48"/>
  <c r="M80"/>
  <c r="J80"/>
  <c r="M185"/>
  <c r="J185"/>
  <c r="M164"/>
  <c r="J164"/>
  <c r="J159"/>
  <c r="M159"/>
  <c r="M156"/>
  <c r="J156"/>
  <c r="J205"/>
  <c r="M205"/>
  <c r="M192"/>
  <c r="J192"/>
  <c r="M11"/>
  <c r="J11"/>
  <c r="M69"/>
  <c r="J69"/>
  <c r="J107"/>
  <c r="M107"/>
  <c r="J4"/>
  <c r="M4"/>
  <c r="J68"/>
  <c r="M68"/>
  <c r="J47"/>
  <c r="M47"/>
  <c r="M87"/>
  <c r="J87"/>
  <c r="M36"/>
  <c r="J36"/>
  <c r="M56"/>
  <c r="J56"/>
  <c r="J112"/>
  <c r="M112"/>
  <c r="M67"/>
  <c r="J67"/>
  <c r="J191"/>
  <c r="M191"/>
  <c r="J88"/>
  <c r="M88"/>
  <c r="J154"/>
  <c r="M154"/>
  <c r="M65"/>
  <c r="J65"/>
  <c r="M34"/>
  <c r="J34"/>
  <c r="J98"/>
  <c r="M98"/>
  <c r="J131"/>
  <c r="M131"/>
  <c r="M53"/>
  <c r="J53"/>
  <c r="M62"/>
  <c r="J62"/>
  <c r="M218"/>
  <c r="J218"/>
  <c r="M77"/>
  <c r="J77"/>
  <c r="M2"/>
  <c r="J2"/>
  <c r="J110"/>
  <c r="M110"/>
  <c r="J17"/>
  <c r="M17"/>
  <c r="J75"/>
  <c r="M75"/>
  <c r="M44"/>
  <c r="J44"/>
  <c r="J223"/>
  <c r="M223"/>
  <c r="J172"/>
  <c r="M172"/>
  <c r="J32"/>
  <c r="M32"/>
  <c r="J74"/>
  <c r="M74"/>
  <c r="O187" i="3"/>
  <c r="O229"/>
  <c r="N225"/>
  <c r="C26" i="11"/>
  <c r="E26" s="1"/>
  <c r="O41" i="3"/>
  <c r="M84" i="5"/>
  <c r="J84"/>
  <c r="M217"/>
  <c r="J217"/>
  <c r="M94"/>
  <c r="J94"/>
  <c r="M231"/>
  <c r="J231"/>
  <c r="J240"/>
  <c r="M240"/>
  <c r="J224"/>
  <c r="M224"/>
  <c r="M72"/>
  <c r="J72"/>
  <c r="J238"/>
  <c r="M238"/>
  <c r="M179"/>
  <c r="J179"/>
  <c r="M209"/>
  <c r="J209"/>
  <c r="M136"/>
  <c r="J136"/>
  <c r="M128"/>
  <c r="J128"/>
  <c r="J162"/>
  <c r="M162"/>
  <c r="M108"/>
  <c r="J108"/>
  <c r="J157"/>
  <c r="M157"/>
  <c r="J132"/>
  <c r="M132"/>
  <c r="M183"/>
  <c r="J183"/>
  <c r="M137"/>
  <c r="J137"/>
  <c r="M7"/>
  <c r="J7"/>
  <c r="J163"/>
  <c r="M163"/>
  <c r="M215"/>
  <c r="J215"/>
  <c r="J43"/>
  <c r="M43"/>
  <c r="J206"/>
  <c r="M206"/>
  <c r="J20"/>
  <c r="M20"/>
  <c r="J149"/>
  <c r="M149"/>
  <c r="J101"/>
  <c r="M101"/>
  <c r="M153"/>
  <c r="J153"/>
  <c r="C50" i="11"/>
  <c r="E50" s="1"/>
  <c r="O69" i="3"/>
  <c r="K29" i="8"/>
  <c r="L29" s="1"/>
  <c r="K27"/>
  <c r="L27" s="1"/>
  <c r="K31"/>
  <c r="L31" s="1"/>
  <c r="K23"/>
  <c r="L23" s="1"/>
  <c r="K19"/>
  <c r="L19" s="1"/>
  <c r="K25"/>
  <c r="L25" s="1"/>
  <c r="K21"/>
  <c r="L21" s="1"/>
  <c r="K17"/>
  <c r="L17" s="1"/>
  <c r="K146"/>
  <c r="L146" s="1"/>
  <c r="K15"/>
  <c r="L15" s="1"/>
  <c r="K5"/>
  <c r="L5" s="1"/>
  <c r="K240"/>
  <c r="L240" s="1"/>
  <c r="K97"/>
  <c r="L97" s="1"/>
  <c r="K61"/>
  <c r="L61" s="1"/>
  <c r="K198"/>
  <c r="L198" s="1"/>
  <c r="K144"/>
  <c r="L144" s="1"/>
  <c r="K187"/>
  <c r="L187" s="1"/>
  <c r="K171"/>
  <c r="L171" s="1"/>
  <c r="K155"/>
  <c r="L155" s="1"/>
  <c r="K10"/>
  <c r="L10" s="1"/>
  <c r="K100"/>
  <c r="L100" s="1"/>
  <c r="K92"/>
  <c r="L92" s="1"/>
  <c r="K82"/>
  <c r="L82" s="1"/>
  <c r="K64"/>
  <c r="L64" s="1"/>
  <c r="K56"/>
  <c r="L56" s="1"/>
  <c r="K28"/>
  <c r="L28" s="1"/>
  <c r="K142"/>
  <c r="L142" s="1"/>
  <c r="K212"/>
  <c r="L212" s="1"/>
  <c r="K192"/>
  <c r="L192" s="1"/>
  <c r="K152"/>
  <c r="L152" s="1"/>
  <c r="K122"/>
  <c r="L122" s="1"/>
  <c r="K209"/>
  <c r="L209" s="1"/>
  <c r="K193"/>
  <c r="L193" s="1"/>
  <c r="K177"/>
  <c r="L177" s="1"/>
  <c r="K109"/>
  <c r="L109" s="1"/>
  <c r="K125"/>
  <c r="L125" s="1"/>
  <c r="K145"/>
  <c r="L145" s="1"/>
  <c r="K46"/>
  <c r="L46" s="1"/>
  <c r="K36"/>
  <c r="L36" s="1"/>
  <c r="K231"/>
  <c r="L231" s="1"/>
  <c r="K91"/>
  <c r="L91" s="1"/>
  <c r="K81"/>
  <c r="L81" s="1"/>
  <c r="K206"/>
  <c r="L206" s="1"/>
  <c r="K186"/>
  <c r="L186" s="1"/>
  <c r="K166"/>
  <c r="L166" s="1"/>
  <c r="K127"/>
  <c r="L127" s="1"/>
  <c r="K143"/>
  <c r="L143" s="1"/>
  <c r="K4"/>
  <c r="L4" s="1"/>
  <c r="K236"/>
  <c r="L236" s="1"/>
  <c r="K226"/>
  <c r="L226" s="1"/>
  <c r="K76"/>
  <c r="L76" s="1"/>
  <c r="K20"/>
  <c r="L20" s="1"/>
  <c r="K216"/>
  <c r="L216" s="1"/>
  <c r="K196"/>
  <c r="L196" s="1"/>
  <c r="K213"/>
  <c r="L213" s="1"/>
  <c r="K197"/>
  <c r="L197" s="1"/>
  <c r="K181"/>
  <c r="L181" s="1"/>
  <c r="K180"/>
  <c r="L180" s="1"/>
  <c r="K114"/>
  <c r="L114" s="1"/>
  <c r="K134"/>
  <c r="L134" s="1"/>
  <c r="K169"/>
  <c r="L169" s="1"/>
  <c r="K50"/>
  <c r="L50" s="1"/>
  <c r="K40"/>
  <c r="L40" s="1"/>
  <c r="K11"/>
  <c r="L11" s="1"/>
  <c r="K217"/>
  <c r="L217" s="1"/>
  <c r="K75"/>
  <c r="L75" s="1"/>
  <c r="K116"/>
  <c r="L116" s="1"/>
  <c r="K132"/>
  <c r="L132" s="1"/>
  <c r="K179"/>
  <c r="L179" s="1"/>
  <c r="K51"/>
  <c r="L51" s="1"/>
  <c r="K220"/>
  <c r="L220" s="1"/>
  <c r="K88"/>
  <c r="L88" s="1"/>
  <c r="K70"/>
  <c r="L70" s="1"/>
  <c r="K24"/>
  <c r="L24" s="1"/>
  <c r="K200"/>
  <c r="L200" s="1"/>
  <c r="K160"/>
  <c r="L160" s="1"/>
  <c r="K150"/>
  <c r="L150" s="1"/>
  <c r="K137"/>
  <c r="L137" s="1"/>
  <c r="K3"/>
  <c r="L3" s="1"/>
  <c r="K237"/>
  <c r="L237" s="1"/>
  <c r="K95"/>
  <c r="L95" s="1"/>
  <c r="K85"/>
  <c r="L85" s="1"/>
  <c r="K67"/>
  <c r="L67" s="1"/>
  <c r="K59"/>
  <c r="L59" s="1"/>
  <c r="K148"/>
  <c r="L148" s="1"/>
  <c r="K167"/>
  <c r="L167" s="1"/>
  <c r="K103"/>
  <c r="L103" s="1"/>
  <c r="K43"/>
  <c r="L43" s="1"/>
  <c r="K33"/>
  <c r="L33" s="1"/>
  <c r="K8"/>
  <c r="L8" s="1"/>
  <c r="K232"/>
  <c r="L232" s="1"/>
  <c r="K98"/>
  <c r="L98" s="1"/>
  <c r="K80"/>
  <c r="L80" s="1"/>
  <c r="K62"/>
  <c r="L62" s="1"/>
  <c r="K54"/>
  <c r="L54" s="1"/>
  <c r="K201"/>
  <c r="L201" s="1"/>
  <c r="K185"/>
  <c r="L185" s="1"/>
  <c r="K153"/>
  <c r="L153" s="1"/>
  <c r="K117"/>
  <c r="L117" s="1"/>
  <c r="K42"/>
  <c r="L42" s="1"/>
  <c r="K13"/>
  <c r="L13" s="1"/>
  <c r="K227"/>
  <c r="L227" s="1"/>
  <c r="K214"/>
  <c r="L214" s="1"/>
  <c r="K194"/>
  <c r="L194" s="1"/>
  <c r="K178"/>
  <c r="L178" s="1"/>
  <c r="K158"/>
  <c r="L158" s="1"/>
  <c r="K203"/>
  <c r="L203" s="1"/>
  <c r="K183"/>
  <c r="L183" s="1"/>
  <c r="K119"/>
  <c r="L119" s="1"/>
  <c r="K135"/>
  <c r="L135" s="1"/>
  <c r="K151"/>
  <c r="L151" s="1"/>
  <c r="K230"/>
  <c r="L230" s="1"/>
  <c r="K90"/>
  <c r="L90" s="1"/>
  <c r="K72"/>
  <c r="L72" s="1"/>
  <c r="K26"/>
  <c r="L26" s="1"/>
  <c r="K16"/>
  <c r="L16" s="1"/>
  <c r="K176"/>
  <c r="L176" s="1"/>
  <c r="K121"/>
  <c r="L121" s="1"/>
  <c r="K239"/>
  <c r="L239" s="1"/>
  <c r="K53"/>
  <c r="L53" s="1"/>
  <c r="K128"/>
  <c r="L128" s="1"/>
  <c r="K131"/>
  <c r="L131" s="1"/>
  <c r="K14"/>
  <c r="L14" s="1"/>
  <c r="K241"/>
  <c r="L241" s="1"/>
  <c r="K224"/>
  <c r="L224" s="1"/>
  <c r="K30"/>
  <c r="L30" s="1"/>
  <c r="K126"/>
  <c r="L126" s="1"/>
  <c r="K165"/>
  <c r="L165" s="1"/>
  <c r="K149"/>
  <c r="L149" s="1"/>
  <c r="K229"/>
  <c r="L229" s="1"/>
  <c r="K99"/>
  <c r="L99" s="1"/>
  <c r="K69"/>
  <c r="L69" s="1"/>
  <c r="K154"/>
  <c r="L154" s="1"/>
  <c r="K211"/>
  <c r="L211" s="1"/>
  <c r="K175"/>
  <c r="L175" s="1"/>
  <c r="K49"/>
  <c r="L49" s="1"/>
  <c r="K2"/>
  <c r="L2" s="1"/>
  <c r="K96"/>
  <c r="L96" s="1"/>
  <c r="K188"/>
  <c r="L188" s="1"/>
  <c r="K118"/>
  <c r="L118" s="1"/>
  <c r="K172"/>
  <c r="L172" s="1"/>
  <c r="K101"/>
  <c r="L101" s="1"/>
  <c r="K87"/>
  <c r="L87" s="1"/>
  <c r="K71"/>
  <c r="L71" s="1"/>
  <c r="K190"/>
  <c r="L190" s="1"/>
  <c r="K162"/>
  <c r="L162" s="1"/>
  <c r="K215"/>
  <c r="L215" s="1"/>
  <c r="K37"/>
  <c r="L37" s="1"/>
  <c r="K18"/>
  <c r="L18" s="1"/>
  <c r="K110"/>
  <c r="L110" s="1"/>
  <c r="K174"/>
  <c r="L174" s="1"/>
  <c r="K141"/>
  <c r="L141" s="1"/>
  <c r="K7"/>
  <c r="L7" s="1"/>
  <c r="K57"/>
  <c r="L57" s="1"/>
  <c r="K120"/>
  <c r="L120" s="1"/>
  <c r="K159"/>
  <c r="L159" s="1"/>
  <c r="K228"/>
  <c r="L228" s="1"/>
  <c r="K84"/>
  <c r="L84" s="1"/>
  <c r="K68"/>
  <c r="L68" s="1"/>
  <c r="K44"/>
  <c r="L44" s="1"/>
  <c r="K235"/>
  <c r="L235" s="1"/>
  <c r="K219"/>
  <c r="L219" s="1"/>
  <c r="K89"/>
  <c r="L89" s="1"/>
  <c r="K73"/>
  <c r="L73" s="1"/>
  <c r="K191"/>
  <c r="L191" s="1"/>
  <c r="K123"/>
  <c r="L123" s="1"/>
  <c r="K147"/>
  <c r="L147" s="1"/>
  <c r="K39"/>
  <c r="L39" s="1"/>
  <c r="K86"/>
  <c r="L86" s="1"/>
  <c r="K106"/>
  <c r="L106" s="1"/>
  <c r="K133"/>
  <c r="L133" s="1"/>
  <c r="K9"/>
  <c r="L9" s="1"/>
  <c r="K202"/>
  <c r="L202" s="1"/>
  <c r="K163"/>
  <c r="L163" s="1"/>
  <c r="K6"/>
  <c r="L6" s="1"/>
  <c r="K233"/>
  <c r="L233" s="1"/>
  <c r="K102"/>
  <c r="L102" s="1"/>
  <c r="K204"/>
  <c r="L204" s="1"/>
  <c r="K105"/>
  <c r="L105" s="1"/>
  <c r="K221"/>
  <c r="L221" s="1"/>
  <c r="K112"/>
  <c r="L112" s="1"/>
  <c r="K140"/>
  <c r="L140" s="1"/>
  <c r="K195"/>
  <c r="L195" s="1"/>
  <c r="K115"/>
  <c r="L115" s="1"/>
  <c r="K41"/>
  <c r="L41" s="1"/>
  <c r="K218"/>
  <c r="L218" s="1"/>
  <c r="K74"/>
  <c r="L74" s="1"/>
  <c r="K58"/>
  <c r="L58" s="1"/>
  <c r="K22"/>
  <c r="L22" s="1"/>
  <c r="K164"/>
  <c r="L164" s="1"/>
  <c r="K189"/>
  <c r="L189" s="1"/>
  <c r="K157"/>
  <c r="L157" s="1"/>
  <c r="K48"/>
  <c r="L48" s="1"/>
  <c r="K223"/>
  <c r="L223" s="1"/>
  <c r="K93"/>
  <c r="L93" s="1"/>
  <c r="K79"/>
  <c r="L79" s="1"/>
  <c r="K63"/>
  <c r="L63" s="1"/>
  <c r="K108"/>
  <c r="L108" s="1"/>
  <c r="K136"/>
  <c r="L136" s="1"/>
  <c r="K199"/>
  <c r="L199" s="1"/>
  <c r="K111"/>
  <c r="L111" s="1"/>
  <c r="K45"/>
  <c r="L45" s="1"/>
  <c r="K60"/>
  <c r="L60" s="1"/>
  <c r="K184"/>
  <c r="L184" s="1"/>
  <c r="K38"/>
  <c r="L38" s="1"/>
  <c r="K55"/>
  <c r="L55" s="1"/>
  <c r="K124"/>
  <c r="L124" s="1"/>
  <c r="K35"/>
  <c r="L35" s="1"/>
  <c r="K32"/>
  <c r="L32" s="1"/>
  <c r="K208"/>
  <c r="L208" s="1"/>
  <c r="K52"/>
  <c r="L52" s="1"/>
  <c r="K225"/>
  <c r="L225" s="1"/>
  <c r="K65"/>
  <c r="L65" s="1"/>
  <c r="K104"/>
  <c r="L104" s="1"/>
  <c r="K173"/>
  <c r="L173" s="1"/>
  <c r="K47"/>
  <c r="L47" s="1"/>
  <c r="K138"/>
  <c r="L138" s="1"/>
  <c r="K205"/>
  <c r="L205" s="1"/>
  <c r="K66"/>
  <c r="L66" s="1"/>
  <c r="K234"/>
  <c r="L234" s="1"/>
  <c r="K129"/>
  <c r="L129" s="1"/>
  <c r="K77"/>
  <c r="L77" s="1"/>
  <c r="K170"/>
  <c r="L170" s="1"/>
  <c r="K182"/>
  <c r="L182" s="1"/>
  <c r="K139"/>
  <c r="L139" s="1"/>
  <c r="K130"/>
  <c r="L130" s="1"/>
  <c r="K207"/>
  <c r="L207" s="1"/>
  <c r="K238"/>
  <c r="L238" s="1"/>
  <c r="K78"/>
  <c r="L78" s="1"/>
  <c r="K113"/>
  <c r="L113" s="1"/>
  <c r="K83"/>
  <c r="L83" s="1"/>
  <c r="K156"/>
  <c r="L156" s="1"/>
  <c r="K161"/>
  <c r="L161" s="1"/>
  <c r="K107"/>
  <c r="L107" s="1"/>
  <c r="K168"/>
  <c r="L168" s="1"/>
  <c r="K210"/>
  <c r="L210" s="1"/>
  <c r="K94"/>
  <c r="L94" s="1"/>
  <c r="K222"/>
  <c r="L222" s="1"/>
  <c r="K34"/>
  <c r="L34" s="1"/>
  <c r="K12"/>
  <c r="L12" s="1"/>
  <c r="J19" i="6"/>
  <c r="M19"/>
  <c r="J116"/>
  <c r="M116"/>
  <c r="J73"/>
  <c r="M73"/>
  <c r="J20"/>
  <c r="M20"/>
  <c r="M110"/>
  <c r="J110"/>
  <c r="J197"/>
  <c r="M197"/>
  <c r="M4"/>
  <c r="J4"/>
  <c r="M145"/>
  <c r="J145"/>
  <c r="M6"/>
  <c r="J6"/>
  <c r="J44"/>
  <c r="M44"/>
  <c r="M218"/>
  <c r="J218"/>
  <c r="O208" i="3"/>
  <c r="N204"/>
  <c r="C236" i="11"/>
  <c r="E236" s="1"/>
  <c r="O286" i="3"/>
  <c r="C62" i="11"/>
  <c r="E62" s="1"/>
  <c r="O83" i="3"/>
  <c r="C212" i="11"/>
  <c r="E212" s="1"/>
  <c r="O258" i="3"/>
  <c r="B22" i="10"/>
  <c r="D22" s="1"/>
  <c r="A149" i="3"/>
  <c r="O167"/>
  <c r="C134" i="11"/>
  <c r="E134" s="1"/>
  <c r="C230"/>
  <c r="E230" s="1"/>
  <c r="O279" i="3"/>
  <c r="N282"/>
  <c r="C237" i="11" s="1"/>
  <c r="E237" s="1"/>
  <c r="O285" i="3"/>
  <c r="B38" i="10"/>
  <c r="D38" s="1"/>
  <c r="A261" i="3"/>
  <c r="B29" i="10"/>
  <c r="D29" s="1"/>
  <c r="A198" i="3"/>
  <c r="N79"/>
  <c r="C63" i="11" s="1"/>
  <c r="E63" s="1"/>
  <c r="O82" i="3"/>
  <c r="N246"/>
  <c r="O250"/>
  <c r="C2" i="11"/>
  <c r="E2" s="1"/>
  <c r="K155" i="4"/>
  <c r="L155" s="1"/>
  <c r="K184"/>
  <c r="L184" s="1"/>
  <c r="K218"/>
  <c r="L218" s="1"/>
  <c r="K88"/>
  <c r="L88" s="1"/>
  <c r="K227"/>
  <c r="L227" s="1"/>
  <c r="K205"/>
  <c r="L205" s="1"/>
  <c r="K134"/>
  <c r="L134" s="1"/>
  <c r="K3"/>
  <c r="L3" s="1"/>
  <c r="K48"/>
  <c r="L48" s="1"/>
  <c r="K113"/>
  <c r="L113" s="1"/>
  <c r="K153"/>
  <c r="L153" s="1"/>
  <c r="K50"/>
  <c r="L50" s="1"/>
  <c r="K116"/>
  <c r="L116" s="1"/>
  <c r="K222"/>
  <c r="L222" s="1"/>
  <c r="K170"/>
  <c r="L170" s="1"/>
  <c r="K156"/>
  <c r="L156" s="1"/>
  <c r="K94"/>
  <c r="L94" s="1"/>
  <c r="K206"/>
  <c r="L206" s="1"/>
  <c r="K229"/>
  <c r="L229" s="1"/>
  <c r="K196"/>
  <c r="L196" s="1"/>
  <c r="K87"/>
  <c r="L87" s="1"/>
  <c r="K219"/>
  <c r="L219" s="1"/>
  <c r="K74"/>
  <c r="L74" s="1"/>
  <c r="K197"/>
  <c r="L197" s="1"/>
  <c r="K26"/>
  <c r="L26" s="1"/>
  <c r="K91"/>
  <c r="L91" s="1"/>
  <c r="K226"/>
  <c r="L226" s="1"/>
  <c r="K49"/>
  <c r="L49" s="1"/>
  <c r="K143"/>
  <c r="L143" s="1"/>
  <c r="K163"/>
  <c r="L163" s="1"/>
  <c r="K193"/>
  <c r="L193" s="1"/>
  <c r="K128"/>
  <c r="L128" s="1"/>
  <c r="K230"/>
  <c r="L230" s="1"/>
  <c r="K2"/>
  <c r="L2" s="1"/>
  <c r="K178"/>
  <c r="L178" s="1"/>
  <c r="K173"/>
  <c r="L173" s="1"/>
  <c r="K190"/>
  <c r="L190" s="1"/>
  <c r="K228"/>
  <c r="L228" s="1"/>
  <c r="K187"/>
  <c r="L187" s="1"/>
  <c r="K161"/>
  <c r="L161" s="1"/>
  <c r="K148"/>
  <c r="L148" s="1"/>
  <c r="K9"/>
  <c r="L9" s="1"/>
  <c r="K7"/>
  <c r="L7" s="1"/>
  <c r="K71"/>
  <c r="L71" s="1"/>
  <c r="K203"/>
  <c r="L203" s="1"/>
  <c r="K232"/>
  <c r="L232" s="1"/>
  <c r="K82"/>
  <c r="L82" s="1"/>
  <c r="K57"/>
  <c r="L57" s="1"/>
  <c r="K30"/>
  <c r="L30" s="1"/>
  <c r="K166"/>
  <c r="L166" s="1"/>
  <c r="K204"/>
  <c r="L204" s="1"/>
  <c r="K46"/>
  <c r="L46" s="1"/>
  <c r="K56"/>
  <c r="L56" s="1"/>
  <c r="K23"/>
  <c r="L23" s="1"/>
  <c r="K108"/>
  <c r="L108" s="1"/>
  <c r="K59"/>
  <c r="L59" s="1"/>
  <c r="K75"/>
  <c r="L75" s="1"/>
  <c r="K171"/>
  <c r="L171" s="1"/>
  <c r="K132"/>
  <c r="L132" s="1"/>
  <c r="K11"/>
  <c r="L11" s="1"/>
  <c r="K37"/>
  <c r="L37" s="1"/>
  <c r="K39"/>
  <c r="L39" s="1"/>
  <c r="K61"/>
  <c r="L61" s="1"/>
  <c r="K127"/>
  <c r="L127" s="1"/>
  <c r="K194"/>
  <c r="L194" s="1"/>
  <c r="K150"/>
  <c r="L150" s="1"/>
  <c r="K90"/>
  <c r="L90" s="1"/>
  <c r="K103"/>
  <c r="L103" s="1"/>
  <c r="K19"/>
  <c r="L19" s="1"/>
  <c r="K104"/>
  <c r="L104" s="1"/>
  <c r="K164"/>
  <c r="L164" s="1"/>
  <c r="K79"/>
  <c r="L79" s="1"/>
  <c r="K124"/>
  <c r="L124" s="1"/>
  <c r="K12"/>
  <c r="L12" s="1"/>
  <c r="K217"/>
  <c r="L217" s="1"/>
  <c r="K214"/>
  <c r="L214" s="1"/>
  <c r="K14"/>
  <c r="L14" s="1"/>
  <c r="K234"/>
  <c r="L234" s="1"/>
  <c r="K199"/>
  <c r="L199" s="1"/>
  <c r="K99"/>
  <c r="L99" s="1"/>
  <c r="K240"/>
  <c r="L240" s="1"/>
  <c r="K112"/>
  <c r="L112" s="1"/>
  <c r="K158"/>
  <c r="L158" s="1"/>
  <c r="K238"/>
  <c r="L238" s="1"/>
  <c r="K86"/>
  <c r="L86" s="1"/>
  <c r="K122"/>
  <c r="L122" s="1"/>
  <c r="K102"/>
  <c r="L102" s="1"/>
  <c r="K17"/>
  <c r="L17" s="1"/>
  <c r="K106"/>
  <c r="L106" s="1"/>
  <c r="K172"/>
  <c r="L172" s="1"/>
  <c r="K101"/>
  <c r="L101" s="1"/>
  <c r="K157"/>
  <c r="L157" s="1"/>
  <c r="K167"/>
  <c r="L167" s="1"/>
  <c r="K96"/>
  <c r="L96" s="1"/>
  <c r="K137"/>
  <c r="L137" s="1"/>
  <c r="K180"/>
  <c r="L180" s="1"/>
  <c r="K110"/>
  <c r="L110" s="1"/>
  <c r="K135"/>
  <c r="L135" s="1"/>
  <c r="K237"/>
  <c r="L237" s="1"/>
  <c r="K151"/>
  <c r="L151" s="1"/>
  <c r="K16"/>
  <c r="L16" s="1"/>
  <c r="K18"/>
  <c r="L18" s="1"/>
  <c r="K69"/>
  <c r="L69" s="1"/>
  <c r="K183"/>
  <c r="L183" s="1"/>
  <c r="K215"/>
  <c r="L215" s="1"/>
  <c r="K121"/>
  <c r="L121" s="1"/>
  <c r="K10"/>
  <c r="L10" s="1"/>
  <c r="K72"/>
  <c r="L72" s="1"/>
  <c r="K13"/>
  <c r="L13" s="1"/>
  <c r="K225"/>
  <c r="L225" s="1"/>
  <c r="K28"/>
  <c r="L28" s="1"/>
  <c r="K55"/>
  <c r="L55" s="1"/>
  <c r="K119"/>
  <c r="L119" s="1"/>
  <c r="K58"/>
  <c r="L58" s="1"/>
  <c r="K64"/>
  <c r="L64" s="1"/>
  <c r="K189"/>
  <c r="L189" s="1"/>
  <c r="K201"/>
  <c r="L201" s="1"/>
  <c r="K115"/>
  <c r="L115" s="1"/>
  <c r="K54"/>
  <c r="L54" s="1"/>
  <c r="K174"/>
  <c r="L174" s="1"/>
  <c r="K236"/>
  <c r="L236" s="1"/>
  <c r="K185"/>
  <c r="L185" s="1"/>
  <c r="K95"/>
  <c r="L95" s="1"/>
  <c r="K52"/>
  <c r="L52" s="1"/>
  <c r="K63"/>
  <c r="L63" s="1"/>
  <c r="K154"/>
  <c r="L154" s="1"/>
  <c r="K169"/>
  <c r="L169" s="1"/>
  <c r="K62"/>
  <c r="L62" s="1"/>
  <c r="K6"/>
  <c r="L6" s="1"/>
  <c r="K138"/>
  <c r="L138" s="1"/>
  <c r="K38"/>
  <c r="L38" s="1"/>
  <c r="K136"/>
  <c r="L136" s="1"/>
  <c r="K191"/>
  <c r="L191" s="1"/>
  <c r="K168"/>
  <c r="L168" s="1"/>
  <c r="K4"/>
  <c r="L4" s="1"/>
  <c r="K47"/>
  <c r="L47" s="1"/>
  <c r="K130"/>
  <c r="L130" s="1"/>
  <c r="K198"/>
  <c r="L198" s="1"/>
  <c r="K31"/>
  <c r="L31" s="1"/>
  <c r="K175"/>
  <c r="L175" s="1"/>
  <c r="K133"/>
  <c r="L133" s="1"/>
  <c r="K188"/>
  <c r="L188" s="1"/>
  <c r="K93"/>
  <c r="L93" s="1"/>
  <c r="K200"/>
  <c r="L200" s="1"/>
  <c r="K81"/>
  <c r="L81" s="1"/>
  <c r="K140"/>
  <c r="L140" s="1"/>
  <c r="K5"/>
  <c r="L5" s="1"/>
  <c r="K107"/>
  <c r="L107" s="1"/>
  <c r="K27"/>
  <c r="L27" s="1"/>
  <c r="K231"/>
  <c r="L231" s="1"/>
  <c r="K125"/>
  <c r="L125" s="1"/>
  <c r="K221"/>
  <c r="L221" s="1"/>
  <c r="K111"/>
  <c r="L111" s="1"/>
  <c r="K43"/>
  <c r="L43" s="1"/>
  <c r="K98"/>
  <c r="L98" s="1"/>
  <c r="K21"/>
  <c r="L21" s="1"/>
  <c r="K68"/>
  <c r="L68" s="1"/>
  <c r="K67"/>
  <c r="L67" s="1"/>
  <c r="K76"/>
  <c r="L76" s="1"/>
  <c r="K120"/>
  <c r="L120" s="1"/>
  <c r="K20"/>
  <c r="L20" s="1"/>
  <c r="K216"/>
  <c r="L216" s="1"/>
  <c r="K35"/>
  <c r="L35" s="1"/>
  <c r="K181"/>
  <c r="L181" s="1"/>
  <c r="K66"/>
  <c r="L66" s="1"/>
  <c r="K8"/>
  <c r="L8" s="1"/>
  <c r="K159"/>
  <c r="L159" s="1"/>
  <c r="K165"/>
  <c r="L165" s="1"/>
  <c r="K241"/>
  <c r="L241" s="1"/>
  <c r="K22"/>
  <c r="L22" s="1"/>
  <c r="K85"/>
  <c r="L85" s="1"/>
  <c r="K100"/>
  <c r="L100" s="1"/>
  <c r="K118"/>
  <c r="L118" s="1"/>
  <c r="K65"/>
  <c r="L65" s="1"/>
  <c r="K42"/>
  <c r="L42" s="1"/>
  <c r="K152"/>
  <c r="L152" s="1"/>
  <c r="K44"/>
  <c r="L44" s="1"/>
  <c r="K142"/>
  <c r="L142" s="1"/>
  <c r="K36"/>
  <c r="L36" s="1"/>
  <c r="K210"/>
  <c r="L210" s="1"/>
  <c r="K80"/>
  <c r="L80" s="1"/>
  <c r="K29"/>
  <c r="L29" s="1"/>
  <c r="K182"/>
  <c r="L182" s="1"/>
  <c r="K117"/>
  <c r="L117" s="1"/>
  <c r="K192"/>
  <c r="L192" s="1"/>
  <c r="K147"/>
  <c r="L147" s="1"/>
  <c r="K220"/>
  <c r="L220" s="1"/>
  <c r="K92"/>
  <c r="L92" s="1"/>
  <c r="K77"/>
  <c r="L77" s="1"/>
  <c r="K60"/>
  <c r="L60" s="1"/>
  <c r="K212"/>
  <c r="L212" s="1"/>
  <c r="K25"/>
  <c r="L25" s="1"/>
  <c r="K207"/>
  <c r="L207" s="1"/>
  <c r="K208"/>
  <c r="L208" s="1"/>
  <c r="K233"/>
  <c r="L233" s="1"/>
  <c r="K126"/>
  <c r="L126" s="1"/>
  <c r="K213"/>
  <c r="L213" s="1"/>
  <c r="K24"/>
  <c r="L24" s="1"/>
  <c r="K235"/>
  <c r="L235" s="1"/>
  <c r="K84"/>
  <c r="L84" s="1"/>
  <c r="K202"/>
  <c r="L202" s="1"/>
  <c r="K131"/>
  <c r="L131" s="1"/>
  <c r="K176"/>
  <c r="L176" s="1"/>
  <c r="K239"/>
  <c r="L239" s="1"/>
  <c r="K32"/>
  <c r="L32" s="1"/>
  <c r="K45"/>
  <c r="L45" s="1"/>
  <c r="K114"/>
  <c r="L114" s="1"/>
  <c r="K51"/>
  <c r="L51" s="1"/>
  <c r="K53"/>
  <c r="L53" s="1"/>
  <c r="K105"/>
  <c r="L105" s="1"/>
  <c r="K97"/>
  <c r="L97" s="1"/>
  <c r="K83"/>
  <c r="L83" s="1"/>
  <c r="K89"/>
  <c r="L89" s="1"/>
  <c r="K33"/>
  <c r="L33" s="1"/>
  <c r="K40"/>
  <c r="L40" s="1"/>
  <c r="K149"/>
  <c r="L149" s="1"/>
  <c r="K186"/>
  <c r="L186" s="1"/>
  <c r="K224"/>
  <c r="L224" s="1"/>
  <c r="K41"/>
  <c r="L41" s="1"/>
  <c r="K162"/>
  <c r="L162" s="1"/>
  <c r="K145"/>
  <c r="L145" s="1"/>
  <c r="K177"/>
  <c r="L177" s="1"/>
  <c r="K211"/>
  <c r="L211" s="1"/>
  <c r="K34"/>
  <c r="L34" s="1"/>
  <c r="K179"/>
  <c r="L179" s="1"/>
  <c r="K195"/>
  <c r="L195" s="1"/>
  <c r="K223"/>
  <c r="L223" s="1"/>
  <c r="K209"/>
  <c r="L209" s="1"/>
  <c r="K139"/>
  <c r="L139" s="1"/>
  <c r="K78"/>
  <c r="L78" s="1"/>
  <c r="K146"/>
  <c r="L146" s="1"/>
  <c r="K73"/>
  <c r="L73" s="1"/>
  <c r="K15"/>
  <c r="L15" s="1"/>
  <c r="K144"/>
  <c r="L144" s="1"/>
  <c r="K141"/>
  <c r="L141" s="1"/>
  <c r="K123"/>
  <c r="L123" s="1"/>
  <c r="K70"/>
  <c r="L70" s="1"/>
  <c r="K160"/>
  <c r="L160" s="1"/>
  <c r="K129"/>
  <c r="L129" s="1"/>
  <c r="K109"/>
  <c r="L109" s="1"/>
  <c r="M234" i="5"/>
  <c r="J234"/>
  <c r="M171"/>
  <c r="J171"/>
  <c r="M188"/>
  <c r="J188"/>
  <c r="J86"/>
  <c r="M86"/>
  <c r="J177" i="6"/>
  <c r="M177"/>
  <c r="J202"/>
  <c r="M202"/>
  <c r="M76"/>
  <c r="J76"/>
  <c r="J165"/>
  <c r="M165"/>
  <c r="M41"/>
  <c r="J41"/>
  <c r="J209"/>
  <c r="M209"/>
  <c r="J46"/>
  <c r="M46"/>
  <c r="J95"/>
  <c r="M95"/>
  <c r="M187"/>
  <c r="J187"/>
  <c r="J17"/>
  <c r="M17"/>
  <c r="M180"/>
  <c r="J180"/>
  <c r="J133"/>
  <c r="M133"/>
  <c r="M136"/>
  <c r="J136"/>
  <c r="J186" i="7"/>
  <c r="M186"/>
  <c r="M223"/>
  <c r="J223"/>
  <c r="M200"/>
  <c r="J200"/>
  <c r="J169"/>
  <c r="M169"/>
  <c r="M147"/>
  <c r="J147"/>
  <c r="J114"/>
  <c r="M114"/>
  <c r="J96"/>
  <c r="M96"/>
  <c r="M170"/>
  <c r="J170"/>
  <c r="M229"/>
  <c r="J229"/>
  <c r="J161"/>
  <c r="M161"/>
  <c r="M92"/>
  <c r="J92"/>
  <c r="M61"/>
  <c r="J61"/>
  <c r="M37"/>
  <c r="J37"/>
  <c r="M13"/>
  <c r="J13"/>
  <c r="J3"/>
  <c r="M3"/>
  <c r="M218"/>
  <c r="J218"/>
  <c r="M173"/>
  <c r="J173"/>
  <c r="M29"/>
  <c r="J29"/>
  <c r="J35"/>
  <c r="M35"/>
  <c r="J102"/>
  <c r="M102"/>
  <c r="M136"/>
  <c r="J136"/>
  <c r="J112"/>
  <c r="M112"/>
  <c r="J185"/>
  <c r="M185"/>
  <c r="J53"/>
  <c r="M53"/>
  <c r="M146"/>
  <c r="J146"/>
  <c r="J235"/>
  <c r="M235"/>
  <c r="J241"/>
  <c r="M241"/>
  <c r="O104" i="3"/>
  <c r="C80" i="11"/>
  <c r="E80" s="1"/>
  <c r="C93"/>
  <c r="E93" s="1"/>
  <c r="O118" i="3"/>
  <c r="O244"/>
  <c r="C201" i="11"/>
  <c r="E201" s="1"/>
  <c r="O55" i="3"/>
  <c r="C38" i="11"/>
  <c r="E38" s="1"/>
  <c r="J213" i="6"/>
  <c r="M213"/>
  <c r="J208"/>
  <c r="M208"/>
  <c r="M24" i="7"/>
  <c r="J24"/>
  <c r="J190"/>
  <c r="M190"/>
  <c r="J115"/>
  <c r="M115"/>
  <c r="J202"/>
  <c r="M202"/>
  <c r="J2"/>
  <c r="M2"/>
  <c r="M123"/>
  <c r="J123"/>
  <c r="M30"/>
  <c r="J30"/>
  <c r="M7"/>
  <c r="J7"/>
  <c r="J171"/>
  <c r="M171"/>
  <c r="J138"/>
  <c r="M138"/>
  <c r="J172"/>
  <c r="M172"/>
  <c r="M181"/>
  <c r="J181"/>
  <c r="M97"/>
  <c r="J97"/>
  <c r="M62"/>
  <c r="J62"/>
  <c r="J38"/>
  <c r="M38"/>
  <c r="J14"/>
  <c r="M14"/>
  <c r="J189"/>
  <c r="M189"/>
  <c r="J207"/>
  <c r="M207"/>
  <c r="J176"/>
  <c r="M176"/>
  <c r="J126"/>
  <c r="M126"/>
  <c r="J70"/>
  <c r="M70"/>
  <c r="J46"/>
  <c r="M46"/>
  <c r="J22"/>
  <c r="M22"/>
  <c r="J160"/>
  <c r="M160"/>
  <c r="J215"/>
  <c r="M215"/>
  <c r="M195"/>
  <c r="J195"/>
  <c r="M108"/>
  <c r="J108"/>
  <c r="M126" i="5"/>
  <c r="J126"/>
  <c r="J25"/>
  <c r="M25"/>
  <c r="M217" i="7"/>
  <c r="J217"/>
  <c r="M119"/>
  <c r="J119"/>
  <c r="J73"/>
  <c r="M73"/>
  <c r="J49"/>
  <c r="M49"/>
  <c r="M25"/>
  <c r="J25"/>
  <c r="M187"/>
  <c r="J187"/>
  <c r="J219"/>
  <c r="M219"/>
  <c r="J149"/>
  <c r="M149"/>
  <c r="J134"/>
  <c r="M134"/>
  <c r="J111"/>
  <c r="M111"/>
  <c r="M84"/>
  <c r="J84"/>
  <c r="J167"/>
  <c r="M167"/>
  <c r="J205"/>
  <c r="M205"/>
  <c r="J232"/>
  <c r="M232"/>
  <c r="J206"/>
  <c r="M206"/>
  <c r="M156"/>
  <c r="J156"/>
  <c r="J130"/>
  <c r="M130"/>
  <c r="J116"/>
  <c r="M116"/>
  <c r="M89"/>
  <c r="J89"/>
  <c r="M69"/>
  <c r="J69"/>
  <c r="J57"/>
  <c r="M57"/>
  <c r="M45"/>
  <c r="J45"/>
  <c r="M33"/>
  <c r="J33"/>
  <c r="M21"/>
  <c r="J21"/>
  <c r="J236"/>
  <c r="M236"/>
  <c r="M175"/>
  <c r="J175"/>
  <c r="J99"/>
  <c r="M99"/>
  <c r="M168"/>
  <c r="J168"/>
  <c r="J80"/>
  <c r="M80"/>
  <c r="J47"/>
  <c r="M47"/>
  <c r="M11"/>
  <c r="J11"/>
  <c r="J113"/>
  <c r="M113"/>
  <c r="J193"/>
  <c r="M193"/>
  <c r="J23"/>
  <c r="M23"/>
  <c r="J160" i="6"/>
  <c r="M160"/>
  <c r="M126"/>
  <c r="J126"/>
  <c r="M118"/>
  <c r="J118"/>
  <c r="J201" i="7"/>
  <c r="M201"/>
  <c r="M143"/>
  <c r="J143"/>
  <c r="J165"/>
  <c r="M165"/>
  <c r="M101"/>
  <c r="J101"/>
  <c r="J68"/>
  <c r="M68"/>
  <c r="J44"/>
  <c r="M44"/>
  <c r="J20"/>
  <c r="M20"/>
  <c r="J158"/>
  <c r="M158"/>
  <c r="J5"/>
  <c r="M5"/>
  <c r="J221"/>
  <c r="M221"/>
  <c r="J135"/>
  <c r="M135"/>
  <c r="M76"/>
  <c r="J76"/>
  <c r="J52"/>
  <c r="M52"/>
  <c r="M28"/>
  <c r="J28"/>
  <c r="M153"/>
  <c r="J153"/>
  <c r="M198"/>
  <c r="J198"/>
  <c r="M208"/>
  <c r="J208"/>
  <c r="J122"/>
  <c r="M122"/>
  <c r="M197"/>
  <c r="J197"/>
  <c r="M118"/>
  <c r="J118"/>
  <c r="J159"/>
  <c r="M159"/>
  <c r="J82"/>
  <c r="M82"/>
  <c r="J54"/>
  <c r="M54"/>
  <c r="J225"/>
  <c r="M225"/>
  <c r="J110"/>
  <c r="M110"/>
  <c r="N74" i="3"/>
  <c r="C59" i="11" s="1"/>
  <c r="E59" s="1"/>
  <c r="O75" i="3"/>
  <c r="N212"/>
  <c r="O215"/>
  <c r="N220"/>
  <c r="O222"/>
  <c r="C58" i="11"/>
  <c r="E58" s="1"/>
  <c r="O76" i="3"/>
  <c r="M15" i="5"/>
  <c r="J15"/>
  <c r="J182"/>
  <c r="M182"/>
  <c r="M201"/>
  <c r="J201"/>
  <c r="J142"/>
  <c r="M142"/>
  <c r="J143"/>
  <c r="M143"/>
  <c r="M103"/>
  <c r="J103"/>
  <c r="M140"/>
  <c r="J140"/>
  <c r="J232"/>
  <c r="M232"/>
  <c r="M184"/>
  <c r="J184"/>
  <c r="J81"/>
  <c r="M81"/>
  <c r="J226"/>
  <c r="M226"/>
  <c r="M168"/>
  <c r="J168"/>
  <c r="J186"/>
  <c r="M186"/>
  <c r="J233"/>
  <c r="M233"/>
  <c r="M35"/>
  <c r="J35"/>
  <c r="M148"/>
  <c r="J148"/>
  <c r="M134"/>
  <c r="J134"/>
  <c r="M219"/>
  <c r="J219"/>
  <c r="M123"/>
  <c r="J123"/>
  <c r="M133"/>
  <c r="J133"/>
  <c r="M5"/>
  <c r="J5"/>
  <c r="J119"/>
  <c r="M119"/>
  <c r="J235"/>
  <c r="M235"/>
  <c r="M222"/>
  <c r="J222"/>
  <c r="J106"/>
  <c r="M106"/>
  <c r="M202"/>
  <c r="J202"/>
  <c r="M146"/>
  <c r="J146"/>
  <c r="M61"/>
  <c r="J61"/>
  <c r="M8"/>
  <c r="J8"/>
  <c r="M151"/>
  <c r="J151"/>
  <c r="A65" i="3"/>
  <c r="B10" i="10"/>
  <c r="D10" s="1"/>
  <c r="B37"/>
  <c r="D37" s="1"/>
  <c r="A254" i="3"/>
  <c r="C123" i="11"/>
  <c r="E123" s="1"/>
  <c r="O153" i="3"/>
  <c r="B24" i="10"/>
  <c r="D24" s="1"/>
  <c r="A163" i="3"/>
  <c r="B40" i="10"/>
  <c r="D40" s="1"/>
  <c r="A275" i="3"/>
  <c r="A268"/>
  <c r="B39" i="10"/>
  <c r="D39" s="1"/>
  <c r="C33" i="11"/>
  <c r="E33" s="1"/>
  <c r="O48" i="3"/>
  <c r="N9"/>
  <c r="C3" i="11" s="1"/>
  <c r="E3" s="1"/>
  <c r="O12" i="3"/>
  <c r="O19"/>
  <c r="N15"/>
  <c r="N85"/>
  <c r="O89"/>
  <c r="N95"/>
  <c r="O96"/>
  <c r="C19" i="11"/>
  <c r="E19" s="1"/>
  <c r="O27" i="3"/>
  <c r="C21" i="11"/>
  <c r="E21" s="1"/>
  <c r="O34" i="3"/>
  <c r="M131" i="6"/>
  <c r="J131"/>
  <c r="M107"/>
  <c r="J107"/>
  <c r="M158"/>
  <c r="J158"/>
  <c r="M29"/>
  <c r="J29"/>
  <c r="M31"/>
  <c r="J31"/>
  <c r="J239"/>
  <c r="M239"/>
  <c r="M119"/>
  <c r="J119"/>
  <c r="J81"/>
  <c r="M81"/>
  <c r="J59"/>
  <c r="M59"/>
  <c r="J157"/>
  <c r="M157"/>
  <c r="J170"/>
  <c r="M170"/>
  <c r="J53"/>
  <c r="M53"/>
  <c r="J228"/>
  <c r="M228"/>
  <c r="J98"/>
  <c r="M98"/>
  <c r="M188"/>
  <c r="J188"/>
  <c r="J55"/>
  <c r="M55"/>
  <c r="M224"/>
  <c r="J224"/>
  <c r="J143"/>
  <c r="M143"/>
  <c r="J96"/>
  <c r="M96"/>
  <c r="M179"/>
  <c r="J179"/>
  <c r="J168"/>
  <c r="M168"/>
  <c r="M214"/>
  <c r="J214"/>
  <c r="J105"/>
  <c r="M105"/>
  <c r="J240" i="7"/>
  <c r="M240"/>
  <c r="M199"/>
  <c r="J199"/>
  <c r="M209"/>
  <c r="J209"/>
  <c r="M188"/>
  <c r="J188"/>
  <c r="J152"/>
  <c r="M152"/>
  <c r="J128"/>
  <c r="M128"/>
  <c r="J100"/>
  <c r="M100"/>
  <c r="M163"/>
  <c r="J163"/>
  <c r="M179"/>
  <c r="J179"/>
  <c r="J228"/>
  <c r="M228"/>
  <c r="M180"/>
  <c r="J180"/>
  <c r="J133"/>
  <c r="M133"/>
  <c r="J105"/>
  <c r="M105"/>
  <c r="J78"/>
  <c r="M78"/>
  <c r="M67"/>
  <c r="J67"/>
  <c r="M55"/>
  <c r="J55"/>
  <c r="J43"/>
  <c r="M43"/>
  <c r="J31"/>
  <c r="M31"/>
  <c r="M19"/>
  <c r="J19"/>
  <c r="M8"/>
  <c r="J8"/>
  <c r="J238"/>
  <c r="M238"/>
  <c r="J194"/>
  <c r="M194"/>
  <c r="M227"/>
  <c r="J227"/>
  <c r="J192"/>
  <c r="M192"/>
  <c r="J164"/>
  <c r="M164"/>
  <c r="M144"/>
  <c r="J144"/>
  <c r="J125"/>
  <c r="M125"/>
  <c r="J93"/>
  <c r="M93"/>
  <c r="J9"/>
  <c r="M9"/>
  <c r="M174"/>
  <c r="J174"/>
  <c r="M211"/>
  <c r="J211"/>
  <c r="J212"/>
  <c r="M212"/>
  <c r="J183"/>
  <c r="M183"/>
  <c r="M139"/>
  <c r="J139"/>
  <c r="J121"/>
  <c r="M121"/>
  <c r="M107"/>
  <c r="J107"/>
  <c r="M75"/>
  <c r="J75"/>
  <c r="M63"/>
  <c r="J63"/>
  <c r="M51"/>
  <c r="J51"/>
  <c r="J39"/>
  <c r="M39"/>
  <c r="M27"/>
  <c r="J27"/>
  <c r="M15"/>
  <c r="J15"/>
  <c r="M162"/>
  <c r="J162"/>
  <c r="J65"/>
  <c r="M65"/>
  <c r="J98"/>
  <c r="M98"/>
  <c r="J71"/>
  <c r="M71"/>
  <c r="M166"/>
  <c r="J166"/>
  <c r="J224"/>
  <c r="M224"/>
  <c r="J41"/>
  <c r="M41"/>
  <c r="J184"/>
  <c r="M184"/>
  <c r="M81"/>
  <c r="J81"/>
  <c r="J6"/>
  <c r="M6"/>
  <c r="M85"/>
  <c r="J85"/>
  <c r="J204"/>
  <c r="M204"/>
  <c r="M141"/>
  <c r="J141"/>
  <c r="J86"/>
  <c r="M86"/>
  <c r="M17"/>
  <c r="J17"/>
  <c r="J145"/>
  <c r="M145"/>
  <c r="M59"/>
  <c r="J59"/>
  <c r="M155"/>
  <c r="J155"/>
  <c r="J231"/>
  <c r="M231"/>
  <c r="B17" i="10"/>
  <c r="D17" s="1"/>
  <c r="A114" i="3"/>
  <c r="B8" i="10"/>
  <c r="D8" s="1"/>
  <c r="A51" i="3"/>
  <c r="J240" i="6"/>
  <c r="M240"/>
  <c r="M74"/>
  <c r="J74"/>
  <c r="M178"/>
  <c r="J178"/>
  <c r="M203"/>
  <c r="J203"/>
  <c r="J138"/>
  <c r="M138"/>
  <c r="J93"/>
  <c r="M93"/>
  <c r="J12" i="7"/>
  <c r="M12"/>
  <c r="J233"/>
  <c r="M233"/>
  <c r="J154"/>
  <c r="M154"/>
  <c r="M129"/>
  <c r="J129"/>
  <c r="M88"/>
  <c r="J88"/>
  <c r="J203"/>
  <c r="M203"/>
  <c r="M120"/>
  <c r="J120"/>
  <c r="M79"/>
  <c r="J79"/>
  <c r="M56"/>
  <c r="J56"/>
  <c r="J32"/>
  <c r="M32"/>
  <c r="M4"/>
  <c r="J4"/>
  <c r="M196"/>
  <c r="J196"/>
  <c r="J213"/>
  <c r="M213"/>
  <c r="M150"/>
  <c r="J150"/>
  <c r="M117"/>
  <c r="J117"/>
  <c r="M64"/>
  <c r="J64"/>
  <c r="J40"/>
  <c r="M40"/>
  <c r="J16"/>
  <c r="M16"/>
  <c r="J182"/>
  <c r="M182"/>
  <c r="J222"/>
  <c r="M222"/>
  <c r="J157"/>
  <c r="M157"/>
  <c r="M103"/>
  <c r="J103"/>
  <c r="J151"/>
  <c r="M151"/>
  <c r="M95"/>
  <c r="J95"/>
  <c r="J226"/>
  <c r="M226"/>
  <c r="M137"/>
  <c r="J137"/>
  <c r="J91"/>
  <c r="M91"/>
  <c r="J66"/>
  <c r="M66"/>
  <c r="J42"/>
  <c r="M42"/>
  <c r="J18"/>
  <c r="M18"/>
  <c r="J239"/>
  <c r="M239"/>
  <c r="M210"/>
  <c r="J210"/>
  <c r="J148"/>
  <c r="M148"/>
  <c r="J124"/>
  <c r="M124"/>
  <c r="J83"/>
  <c r="M83"/>
  <c r="J230"/>
  <c r="M230"/>
  <c r="M106"/>
  <c r="J106"/>
  <c r="J74"/>
  <c r="M74"/>
  <c r="J50"/>
  <c r="M50"/>
  <c r="M26"/>
  <c r="J26"/>
  <c r="J237"/>
  <c r="M237"/>
  <c r="M220"/>
  <c r="J220"/>
  <c r="J234"/>
  <c r="M234"/>
  <c r="J140"/>
  <c r="M140"/>
  <c r="J94"/>
  <c r="M94"/>
  <c r="M58"/>
  <c r="J58"/>
  <c r="J34"/>
  <c r="M34"/>
  <c r="M10"/>
  <c r="J10"/>
  <c r="J191"/>
  <c r="M191"/>
  <c r="M214"/>
  <c r="J214"/>
  <c r="J131"/>
  <c r="M131"/>
  <c r="J90"/>
  <c r="M90"/>
  <c r="M91" i="5"/>
  <c r="J91"/>
  <c r="M129"/>
  <c r="J129"/>
  <c r="O103" i="3"/>
  <c r="O243"/>
  <c r="B27" i="10" l="1"/>
  <c r="D27" s="1"/>
  <c r="A184" i="3"/>
  <c r="C158" i="11"/>
  <c r="E158" s="1"/>
  <c r="O195" i="3"/>
  <c r="C99" i="11"/>
  <c r="E99" s="1"/>
  <c r="O125" i="3"/>
  <c r="C107" i="11"/>
  <c r="E107" s="1"/>
  <c r="O132" i="3"/>
  <c r="C131" i="11"/>
  <c r="E131" s="1"/>
  <c r="O160" i="3"/>
  <c r="C149" i="11"/>
  <c r="E149" s="1"/>
  <c r="O181" i="3"/>
  <c r="A23"/>
  <c r="B4" i="10"/>
  <c r="D4" s="1"/>
  <c r="C45" i="11"/>
  <c r="E45" s="1"/>
  <c r="O62" i="3"/>
  <c r="C111" i="11"/>
  <c r="E111" s="1"/>
  <c r="O139" i="3"/>
  <c r="B21" i="10"/>
  <c r="D21" s="1"/>
  <c r="A142" i="3"/>
  <c r="C145" i="11"/>
  <c r="E145" s="1"/>
  <c r="O174" i="3"/>
  <c r="O13"/>
  <c r="B28" i="10"/>
  <c r="D28" s="1"/>
  <c r="A191" i="3"/>
  <c r="A30"/>
  <c r="B5" i="10"/>
  <c r="D5" s="1"/>
  <c r="B18"/>
  <c r="D18" s="1"/>
  <c r="A121" i="3"/>
  <c r="A128"/>
  <c r="B19" i="10"/>
  <c r="D19" s="1"/>
  <c r="B23"/>
  <c r="D23" s="1"/>
  <c r="A156" i="3"/>
  <c r="B26" i="10"/>
  <c r="D26" s="1"/>
  <c r="A177" i="3"/>
  <c r="A262"/>
  <c r="B38" i="9"/>
  <c r="D38" s="1"/>
  <c r="B39"/>
  <c r="D39" s="1"/>
  <c r="A269" i="3"/>
  <c r="A108"/>
  <c r="B16" i="9"/>
  <c r="D16" s="1"/>
  <c r="B9" i="10"/>
  <c r="D9" s="1"/>
  <c r="A58" i="3"/>
  <c r="A135"/>
  <c r="B20" i="10"/>
  <c r="D20" s="1"/>
  <c r="C117" i="11"/>
  <c r="E117" s="1"/>
  <c r="O146" i="3"/>
  <c r="A170"/>
  <c r="B25" i="10"/>
  <c r="D25" s="1"/>
  <c r="A199" i="3"/>
  <c r="B29" i="9"/>
  <c r="D29" s="1"/>
  <c r="B27"/>
  <c r="D27" s="1"/>
  <c r="A185" i="3"/>
  <c r="B4" i="9"/>
  <c r="D4" s="1"/>
  <c r="A24" i="3"/>
  <c r="B13" i="10"/>
  <c r="D13" s="1"/>
  <c r="A86" i="3"/>
  <c r="A45"/>
  <c r="B7" i="9"/>
  <c r="D7" s="1"/>
  <c r="B22"/>
  <c r="D22" s="1"/>
  <c r="A150" i="3"/>
  <c r="B32" i="10"/>
  <c r="D32" s="1"/>
  <c r="A219" i="3"/>
  <c r="B11" i="10"/>
  <c r="D11" s="1"/>
  <c r="A72" i="3"/>
  <c r="B17" i="9"/>
  <c r="D17" s="1"/>
  <c r="A115" i="3"/>
  <c r="M109" i="4"/>
  <c r="J109"/>
  <c r="M160"/>
  <c r="J160"/>
  <c r="J123"/>
  <c r="M123"/>
  <c r="M144"/>
  <c r="J144"/>
  <c r="M78"/>
  <c r="J78"/>
  <c r="M209"/>
  <c r="J209"/>
  <c r="J195"/>
  <c r="M195"/>
  <c r="J177"/>
  <c r="M177"/>
  <c r="J224"/>
  <c r="M224"/>
  <c r="J149"/>
  <c r="M149"/>
  <c r="J83"/>
  <c r="M83"/>
  <c r="M105"/>
  <c r="J105"/>
  <c r="J45"/>
  <c r="M45"/>
  <c r="J24"/>
  <c r="M24"/>
  <c r="J25"/>
  <c r="M25"/>
  <c r="M29"/>
  <c r="J29"/>
  <c r="M210"/>
  <c r="J210"/>
  <c r="J142"/>
  <c r="M142"/>
  <c r="J152"/>
  <c r="M152"/>
  <c r="J22"/>
  <c r="M22"/>
  <c r="M165"/>
  <c r="J165"/>
  <c r="J67"/>
  <c r="M67"/>
  <c r="M21"/>
  <c r="J21"/>
  <c r="M221"/>
  <c r="J221"/>
  <c r="M107"/>
  <c r="J107"/>
  <c r="J47"/>
  <c r="M47"/>
  <c r="J136"/>
  <c r="M136"/>
  <c r="M62"/>
  <c r="J62"/>
  <c r="J154"/>
  <c r="M154"/>
  <c r="J185"/>
  <c r="M185"/>
  <c r="M174"/>
  <c r="J174"/>
  <c r="J115"/>
  <c r="M115"/>
  <c r="J189"/>
  <c r="M189"/>
  <c r="M55"/>
  <c r="J55"/>
  <c r="M225"/>
  <c r="J225"/>
  <c r="J18"/>
  <c r="M18"/>
  <c r="M135"/>
  <c r="J135"/>
  <c r="J17"/>
  <c r="M17"/>
  <c r="M238"/>
  <c r="J238"/>
  <c r="J99"/>
  <c r="M99"/>
  <c r="M12"/>
  <c r="J12"/>
  <c r="J104"/>
  <c r="M104"/>
  <c r="J150"/>
  <c r="M150"/>
  <c r="J127"/>
  <c r="M127"/>
  <c r="J11"/>
  <c r="M11"/>
  <c r="J171"/>
  <c r="M171"/>
  <c r="M23"/>
  <c r="J23"/>
  <c r="M46"/>
  <c r="J46"/>
  <c r="J166"/>
  <c r="M166"/>
  <c r="J232"/>
  <c r="M232"/>
  <c r="M9"/>
  <c r="J9"/>
  <c r="J173"/>
  <c r="M173"/>
  <c r="J135" i="8"/>
  <c r="M135"/>
  <c r="B35" i="10"/>
  <c r="D35" s="1"/>
  <c r="A240" i="3"/>
  <c r="B5" i="9"/>
  <c r="D5" s="1"/>
  <c r="A31" i="3"/>
  <c r="B14" i="10"/>
  <c r="D14" s="1"/>
  <c r="A93" i="3"/>
  <c r="C8" i="11"/>
  <c r="E8" s="1"/>
  <c r="O20" i="3"/>
  <c r="A9"/>
  <c r="B2" i="10"/>
  <c r="D2" s="1"/>
  <c r="B11" i="9"/>
  <c r="D11" s="1"/>
  <c r="A73" i="3"/>
  <c r="B31" i="10"/>
  <c r="D31" s="1"/>
  <c r="A212" i="3"/>
  <c r="M73" i="4"/>
  <c r="J73"/>
  <c r="M34"/>
  <c r="J34"/>
  <c r="J162"/>
  <c r="M162"/>
  <c r="J33"/>
  <c r="M33"/>
  <c r="J51"/>
  <c r="M51"/>
  <c r="J239"/>
  <c r="M239"/>
  <c r="M131"/>
  <c r="J131"/>
  <c r="M84"/>
  <c r="J84"/>
  <c r="J126"/>
  <c r="M126"/>
  <c r="J208"/>
  <c r="M208"/>
  <c r="M60"/>
  <c r="J60"/>
  <c r="J92"/>
  <c r="M92"/>
  <c r="J147"/>
  <c r="M147"/>
  <c r="J117"/>
  <c r="M117"/>
  <c r="J65"/>
  <c r="M65"/>
  <c r="J100"/>
  <c r="M100"/>
  <c r="J8"/>
  <c r="M8"/>
  <c r="J181"/>
  <c r="M181"/>
  <c r="J216"/>
  <c r="M216"/>
  <c r="M120"/>
  <c r="J120"/>
  <c r="M43"/>
  <c r="J43"/>
  <c r="M231"/>
  <c r="J231"/>
  <c r="J140"/>
  <c r="M140"/>
  <c r="M200"/>
  <c r="J200"/>
  <c r="M188"/>
  <c r="J188"/>
  <c r="J175"/>
  <c r="M175"/>
  <c r="M198"/>
  <c r="J198"/>
  <c r="M168"/>
  <c r="J168"/>
  <c r="M138"/>
  <c r="J138"/>
  <c r="J52"/>
  <c r="M52"/>
  <c r="J58"/>
  <c r="M58"/>
  <c r="J72"/>
  <c r="M72"/>
  <c r="J121"/>
  <c r="M121"/>
  <c r="J183"/>
  <c r="M183"/>
  <c r="J151"/>
  <c r="M151"/>
  <c r="M180"/>
  <c r="J180"/>
  <c r="M96"/>
  <c r="J96"/>
  <c r="M157"/>
  <c r="J157"/>
  <c r="J172"/>
  <c r="M172"/>
  <c r="M122"/>
  <c r="J122"/>
  <c r="M112"/>
  <c r="J112"/>
  <c r="M234"/>
  <c r="J234"/>
  <c r="M214"/>
  <c r="J214"/>
  <c r="J79"/>
  <c r="M79"/>
  <c r="J103"/>
  <c r="M103"/>
  <c r="M39"/>
  <c r="J39"/>
  <c r="M59"/>
  <c r="J59"/>
  <c r="J57"/>
  <c r="M57"/>
  <c r="M71"/>
  <c r="J71"/>
  <c r="J161"/>
  <c r="M161"/>
  <c r="J228"/>
  <c r="M228"/>
  <c r="M2"/>
  <c r="J2"/>
  <c r="J128"/>
  <c r="M128"/>
  <c r="M163"/>
  <c r="J163"/>
  <c r="M49"/>
  <c r="J49"/>
  <c r="J91"/>
  <c r="M91"/>
  <c r="J197"/>
  <c r="M197"/>
  <c r="J219"/>
  <c r="M219"/>
  <c r="M196"/>
  <c r="J196"/>
  <c r="M206"/>
  <c r="J206"/>
  <c r="J156"/>
  <c r="M156"/>
  <c r="M222"/>
  <c r="J222"/>
  <c r="M50"/>
  <c r="J50"/>
  <c r="M113"/>
  <c r="J113"/>
  <c r="M3"/>
  <c r="J3"/>
  <c r="M205"/>
  <c r="J205"/>
  <c r="J88"/>
  <c r="M88"/>
  <c r="M184"/>
  <c r="J184"/>
  <c r="A10" i="3"/>
  <c r="B2" i="9"/>
  <c r="D2" s="1"/>
  <c r="B36" i="10"/>
  <c r="D36" s="1"/>
  <c r="A247" i="3"/>
  <c r="B12" i="10"/>
  <c r="D12" s="1"/>
  <c r="A79" i="3"/>
  <c r="B41" i="10"/>
  <c r="D41" s="1"/>
  <c r="A282" i="3"/>
  <c r="B40" i="9"/>
  <c r="D40" s="1"/>
  <c r="A276" i="3"/>
  <c r="A255"/>
  <c r="B37" i="9"/>
  <c r="D37" s="1"/>
  <c r="A80" i="3"/>
  <c r="B12" i="9"/>
  <c r="D12" s="1"/>
  <c r="B41"/>
  <c r="D41" s="1"/>
  <c r="A283" i="3"/>
  <c r="C170" i="11"/>
  <c r="E170" s="1"/>
  <c r="O209" i="3"/>
  <c r="M12" i="8"/>
  <c r="J12"/>
  <c r="J222"/>
  <c r="M222"/>
  <c r="M210"/>
  <c r="J210"/>
  <c r="J107"/>
  <c r="M107"/>
  <c r="M156"/>
  <c r="J156"/>
  <c r="M113"/>
  <c r="J113"/>
  <c r="J238"/>
  <c r="M238"/>
  <c r="J130"/>
  <c r="M130"/>
  <c r="M182"/>
  <c r="J182"/>
  <c r="J77"/>
  <c r="M77"/>
  <c r="M234"/>
  <c r="J234"/>
  <c r="M205"/>
  <c r="J205"/>
  <c r="J47"/>
  <c r="M47"/>
  <c r="J104"/>
  <c r="M104"/>
  <c r="J225"/>
  <c r="M225"/>
  <c r="M208"/>
  <c r="J208"/>
  <c r="M35"/>
  <c r="J35"/>
  <c r="J55"/>
  <c r="M55"/>
  <c r="M184"/>
  <c r="J184"/>
  <c r="J45"/>
  <c r="M45"/>
  <c r="J199"/>
  <c r="M199"/>
  <c r="M108"/>
  <c r="J108"/>
  <c r="J79"/>
  <c r="M79"/>
  <c r="J223"/>
  <c r="M223"/>
  <c r="J157"/>
  <c r="M157"/>
  <c r="J164"/>
  <c r="M164"/>
  <c r="J58"/>
  <c r="M58"/>
  <c r="J218"/>
  <c r="M218"/>
  <c r="J115"/>
  <c r="M115"/>
  <c r="M140"/>
  <c r="J140"/>
  <c r="J221"/>
  <c r="M221"/>
  <c r="M204"/>
  <c r="J204"/>
  <c r="J233"/>
  <c r="M233"/>
  <c r="J163"/>
  <c r="M163"/>
  <c r="J9"/>
  <c r="M9"/>
  <c r="J106"/>
  <c r="M106"/>
  <c r="M39"/>
  <c r="J39"/>
  <c r="J123"/>
  <c r="M123"/>
  <c r="M73"/>
  <c r="J73"/>
  <c r="M219"/>
  <c r="J219"/>
  <c r="J44"/>
  <c r="M44"/>
  <c r="M84"/>
  <c r="J84"/>
  <c r="J159"/>
  <c r="M159"/>
  <c r="M57"/>
  <c r="J57"/>
  <c r="J141"/>
  <c r="M141"/>
  <c r="M110"/>
  <c r="J110"/>
  <c r="J37"/>
  <c r="M37"/>
  <c r="J162"/>
  <c r="M162"/>
  <c r="M71"/>
  <c r="J71"/>
  <c r="J101"/>
  <c r="M101"/>
  <c r="J118"/>
  <c r="M118"/>
  <c r="J96"/>
  <c r="M96"/>
  <c r="J49"/>
  <c r="M49"/>
  <c r="J211"/>
  <c r="M211"/>
  <c r="J69"/>
  <c r="M69"/>
  <c r="J229"/>
  <c r="M229"/>
  <c r="J165"/>
  <c r="M165"/>
  <c r="J30"/>
  <c r="M30"/>
  <c r="M241"/>
  <c r="J241"/>
  <c r="J131"/>
  <c r="M131"/>
  <c r="M53"/>
  <c r="J53"/>
  <c r="M121"/>
  <c r="J121"/>
  <c r="J16"/>
  <c r="M16"/>
  <c r="M72"/>
  <c r="J72"/>
  <c r="J230"/>
  <c r="M230"/>
  <c r="J183"/>
  <c r="M183"/>
  <c r="M42"/>
  <c r="J42"/>
  <c r="M8"/>
  <c r="J8"/>
  <c r="B15" i="10"/>
  <c r="D15" s="1"/>
  <c r="A100" i="3"/>
  <c r="C77" i="11"/>
  <c r="E77" s="1"/>
  <c r="O97" i="3"/>
  <c r="O90"/>
  <c r="C68" i="11"/>
  <c r="E68" s="1"/>
  <c r="B3" i="10"/>
  <c r="D3" s="1"/>
  <c r="A16" i="3"/>
  <c r="C184" i="11"/>
  <c r="E184" s="1"/>
  <c r="O223" i="3"/>
  <c r="C177" i="11"/>
  <c r="E177" s="1"/>
  <c r="O216" i="3"/>
  <c r="B8" i="9"/>
  <c r="D8" s="1"/>
  <c r="A52" i="3"/>
  <c r="B35" i="9"/>
  <c r="D35" s="1"/>
  <c r="A241" i="3"/>
  <c r="B15" i="9"/>
  <c r="D15" s="1"/>
  <c r="A101" i="3"/>
  <c r="M129" i="4"/>
  <c r="J129"/>
  <c r="J70"/>
  <c r="M70"/>
  <c r="J141"/>
  <c r="M141"/>
  <c r="M15"/>
  <c r="J15"/>
  <c r="M146"/>
  <c r="J146"/>
  <c r="M139"/>
  <c r="J139"/>
  <c r="J223"/>
  <c r="M223"/>
  <c r="M179"/>
  <c r="J179"/>
  <c r="M211"/>
  <c r="J211"/>
  <c r="M145"/>
  <c r="J145"/>
  <c r="M41"/>
  <c r="J41"/>
  <c r="M186"/>
  <c r="J186"/>
  <c r="J40"/>
  <c r="M40"/>
  <c r="M89"/>
  <c r="J89"/>
  <c r="M97"/>
  <c r="J97"/>
  <c r="M53"/>
  <c r="J53"/>
  <c r="M114"/>
  <c r="J114"/>
  <c r="J32"/>
  <c r="M32"/>
  <c r="J176"/>
  <c r="M176"/>
  <c r="J202"/>
  <c r="M202"/>
  <c r="J235"/>
  <c r="M235"/>
  <c r="J213"/>
  <c r="M213"/>
  <c r="J233"/>
  <c r="M233"/>
  <c r="J207"/>
  <c r="M207"/>
  <c r="J212"/>
  <c r="M212"/>
  <c r="M77"/>
  <c r="J77"/>
  <c r="J220"/>
  <c r="M220"/>
  <c r="M192"/>
  <c r="J192"/>
  <c r="J182"/>
  <c r="M182"/>
  <c r="M80"/>
  <c r="J80"/>
  <c r="J36"/>
  <c r="M36"/>
  <c r="M44"/>
  <c r="J44"/>
  <c r="J42"/>
  <c r="M42"/>
  <c r="J118"/>
  <c r="M118"/>
  <c r="J85"/>
  <c r="M85"/>
  <c r="J241"/>
  <c r="M241"/>
  <c r="J159"/>
  <c r="M159"/>
  <c r="M66"/>
  <c r="J66"/>
  <c r="M35"/>
  <c r="J35"/>
  <c r="M20"/>
  <c r="J20"/>
  <c r="J76"/>
  <c r="M76"/>
  <c r="J68"/>
  <c r="M68"/>
  <c r="M98"/>
  <c r="J98"/>
  <c r="J111"/>
  <c r="M111"/>
  <c r="J125"/>
  <c r="M125"/>
  <c r="M27"/>
  <c r="J27"/>
  <c r="M5"/>
  <c r="J5"/>
  <c r="M81"/>
  <c r="J81"/>
  <c r="J93"/>
  <c r="M93"/>
  <c r="M133"/>
  <c r="J133"/>
  <c r="M31"/>
  <c r="J31"/>
  <c r="J130"/>
  <c r="M130"/>
  <c r="M4"/>
  <c r="J4"/>
  <c r="J191"/>
  <c r="M191"/>
  <c r="M38"/>
  <c r="J38"/>
  <c r="M6"/>
  <c r="J6"/>
  <c r="M169"/>
  <c r="J169"/>
  <c r="M63"/>
  <c r="J63"/>
  <c r="J95"/>
  <c r="M95"/>
  <c r="M236"/>
  <c r="J236"/>
  <c r="M54"/>
  <c r="J54"/>
  <c r="J201"/>
  <c r="M201"/>
  <c r="J64"/>
  <c r="M64"/>
  <c r="M119"/>
  <c r="J119"/>
  <c r="J28"/>
  <c r="M28"/>
  <c r="M13"/>
  <c r="J13"/>
  <c r="J10"/>
  <c r="M10"/>
  <c r="J215"/>
  <c r="M215"/>
  <c r="M69"/>
  <c r="J69"/>
  <c r="M16"/>
  <c r="J16"/>
  <c r="M237"/>
  <c r="J237"/>
  <c r="J110"/>
  <c r="M110"/>
  <c r="J137"/>
  <c r="M137"/>
  <c r="M167"/>
  <c r="J167"/>
  <c r="J101"/>
  <c r="M101"/>
  <c r="J106"/>
  <c r="M106"/>
  <c r="M102"/>
  <c r="J102"/>
  <c r="J86"/>
  <c r="M86"/>
  <c r="J158"/>
  <c r="M158"/>
  <c r="M240"/>
  <c r="J240"/>
  <c r="J199"/>
  <c r="M199"/>
  <c r="J14"/>
  <c r="M14"/>
  <c r="J217"/>
  <c r="M217"/>
  <c r="M124"/>
  <c r="J124"/>
  <c r="J164"/>
  <c r="M164"/>
  <c r="M19"/>
  <c r="J19"/>
  <c r="J90"/>
  <c r="M90"/>
  <c r="M194"/>
  <c r="J194"/>
  <c r="J61"/>
  <c r="M61"/>
  <c r="J37"/>
  <c r="M37"/>
  <c r="M132"/>
  <c r="J132"/>
  <c r="J75"/>
  <c r="M75"/>
  <c r="J108"/>
  <c r="M108"/>
  <c r="M56"/>
  <c r="J56"/>
  <c r="M204"/>
  <c r="J204"/>
  <c r="M30"/>
  <c r="J30"/>
  <c r="J82"/>
  <c r="M82"/>
  <c r="J203"/>
  <c r="M203"/>
  <c r="J7"/>
  <c r="M7"/>
  <c r="M148"/>
  <c r="J148"/>
  <c r="M187"/>
  <c r="J187"/>
  <c r="M190"/>
  <c r="J190"/>
  <c r="J178"/>
  <c r="M178"/>
  <c r="J230"/>
  <c r="M230"/>
  <c r="M193"/>
  <c r="J193"/>
  <c r="J143"/>
  <c r="M143"/>
  <c r="M226"/>
  <c r="J226"/>
  <c r="M26"/>
  <c r="J26"/>
  <c r="M74"/>
  <c r="J74"/>
  <c r="M87"/>
  <c r="J87"/>
  <c r="M229"/>
  <c r="J229"/>
  <c r="M94"/>
  <c r="J94"/>
  <c r="J170"/>
  <c r="M170"/>
  <c r="M116"/>
  <c r="J116"/>
  <c r="M153"/>
  <c r="J153"/>
  <c r="J48"/>
  <c r="M48"/>
  <c r="M134"/>
  <c r="J134"/>
  <c r="J227"/>
  <c r="M227"/>
  <c r="J218"/>
  <c r="M218"/>
  <c r="M155"/>
  <c r="J155"/>
  <c r="C206" i="11"/>
  <c r="E206" s="1"/>
  <c r="O251" i="3"/>
  <c r="B24" i="9"/>
  <c r="D24" s="1"/>
  <c r="A164" i="3"/>
  <c r="B30" i="10"/>
  <c r="D30" s="1"/>
  <c r="A205" i="3"/>
  <c r="M34" i="8"/>
  <c r="J34"/>
  <c r="J94"/>
  <c r="M94"/>
  <c r="M168"/>
  <c r="J168"/>
  <c r="M161"/>
  <c r="J161"/>
  <c r="J83"/>
  <c r="M83"/>
  <c r="M78"/>
  <c r="J78"/>
  <c r="M207"/>
  <c r="J207"/>
  <c r="J139"/>
  <c r="M139"/>
  <c r="J170"/>
  <c r="M170"/>
  <c r="J129"/>
  <c r="M129"/>
  <c r="J66"/>
  <c r="M66"/>
  <c r="M138"/>
  <c r="J138"/>
  <c r="J173"/>
  <c r="M173"/>
  <c r="M65"/>
  <c r="J65"/>
  <c r="M52"/>
  <c r="J52"/>
  <c r="M32"/>
  <c r="J32"/>
  <c r="J124"/>
  <c r="M124"/>
  <c r="J38"/>
  <c r="M38"/>
  <c r="M60"/>
  <c r="J60"/>
  <c r="J111"/>
  <c r="M111"/>
  <c r="J136"/>
  <c r="M136"/>
  <c r="J63"/>
  <c r="M63"/>
  <c r="J93"/>
  <c r="M93"/>
  <c r="J48"/>
  <c r="M48"/>
  <c r="M189"/>
  <c r="J189"/>
  <c r="J22"/>
  <c r="M22"/>
  <c r="M74"/>
  <c r="J74"/>
  <c r="J41"/>
  <c r="M41"/>
  <c r="J195"/>
  <c r="M195"/>
  <c r="J112"/>
  <c r="M112"/>
  <c r="M105"/>
  <c r="J105"/>
  <c r="J102"/>
  <c r="M102"/>
  <c r="M6"/>
  <c r="J6"/>
  <c r="M202"/>
  <c r="J202"/>
  <c r="M133"/>
  <c r="J133"/>
  <c r="J86"/>
  <c r="M86"/>
  <c r="J147"/>
  <c r="M147"/>
  <c r="J191"/>
  <c r="M191"/>
  <c r="J89"/>
  <c r="M89"/>
  <c r="M235"/>
  <c r="J235"/>
  <c r="J68"/>
  <c r="M68"/>
  <c r="M228"/>
  <c r="J228"/>
  <c r="M120"/>
  <c r="J120"/>
  <c r="M7"/>
  <c r="J7"/>
  <c r="M174"/>
  <c r="J174"/>
  <c r="M18"/>
  <c r="J18"/>
  <c r="M215"/>
  <c r="J215"/>
  <c r="M190"/>
  <c r="J190"/>
  <c r="M87"/>
  <c r="J87"/>
  <c r="J172"/>
  <c r="M172"/>
  <c r="M188"/>
  <c r="J188"/>
  <c r="J2"/>
  <c r="M2"/>
  <c r="J175"/>
  <c r="M175"/>
  <c r="M154"/>
  <c r="J154"/>
  <c r="J99"/>
  <c r="M99"/>
  <c r="J149"/>
  <c r="M149"/>
  <c r="M126"/>
  <c r="J126"/>
  <c r="M224"/>
  <c r="J224"/>
  <c r="J14"/>
  <c r="M14"/>
  <c r="M128"/>
  <c r="J128"/>
  <c r="M239"/>
  <c r="J239"/>
  <c r="J176"/>
  <c r="M176"/>
  <c r="M26"/>
  <c r="J26"/>
  <c r="M90"/>
  <c r="J90"/>
  <c r="M151"/>
  <c r="J151"/>
  <c r="M119"/>
  <c r="J119"/>
  <c r="J203"/>
  <c r="M203"/>
  <c r="J178"/>
  <c r="M178"/>
  <c r="J214"/>
  <c r="M214"/>
  <c r="M13"/>
  <c r="J13"/>
  <c r="M117"/>
  <c r="J117"/>
  <c r="M185"/>
  <c r="J185"/>
  <c r="M54"/>
  <c r="J54"/>
  <c r="J80"/>
  <c r="M80"/>
  <c r="M232"/>
  <c r="J232"/>
  <c r="M33"/>
  <c r="J33"/>
  <c r="M103"/>
  <c r="J103"/>
  <c r="J148"/>
  <c r="M148"/>
  <c r="J67"/>
  <c r="M67"/>
  <c r="M95"/>
  <c r="J95"/>
  <c r="J3"/>
  <c r="M3"/>
  <c r="J150"/>
  <c r="M150"/>
  <c r="M200"/>
  <c r="J200"/>
  <c r="M70"/>
  <c r="J70"/>
  <c r="J220"/>
  <c r="M220"/>
  <c r="J179"/>
  <c r="M179"/>
  <c r="J116"/>
  <c r="M116"/>
  <c r="J217"/>
  <c r="M217"/>
  <c r="M40"/>
  <c r="J40"/>
  <c r="M169"/>
  <c r="J169"/>
  <c r="M114"/>
  <c r="J114"/>
  <c r="M181"/>
  <c r="J181"/>
  <c r="J213"/>
  <c r="M213"/>
  <c r="J216"/>
  <c r="M216"/>
  <c r="M76"/>
  <c r="J76"/>
  <c r="M236"/>
  <c r="J236"/>
  <c r="M143"/>
  <c r="J143"/>
  <c r="M166"/>
  <c r="J166"/>
  <c r="J206"/>
  <c r="M206"/>
  <c r="M91"/>
  <c r="J91"/>
  <c r="J36"/>
  <c r="M36"/>
  <c r="M145"/>
  <c r="J145"/>
  <c r="M109"/>
  <c r="J109"/>
  <c r="J193"/>
  <c r="M193"/>
  <c r="J122"/>
  <c r="M122"/>
  <c r="J192"/>
  <c r="M192"/>
  <c r="M142"/>
  <c r="J142"/>
  <c r="M56"/>
  <c r="J56"/>
  <c r="J82"/>
  <c r="M82"/>
  <c r="M100"/>
  <c r="J100"/>
  <c r="M155"/>
  <c r="J155"/>
  <c r="M187"/>
  <c r="J187"/>
  <c r="J198"/>
  <c r="M198"/>
  <c r="J97"/>
  <c r="M97"/>
  <c r="J5"/>
  <c r="M5"/>
  <c r="M146"/>
  <c r="J146"/>
  <c r="M21"/>
  <c r="J21"/>
  <c r="M19"/>
  <c r="J19"/>
  <c r="M31"/>
  <c r="J31"/>
  <c r="M29"/>
  <c r="J29"/>
  <c r="B33" i="10"/>
  <c r="D33" s="1"/>
  <c r="A226" i="3"/>
  <c r="M158" i="8"/>
  <c r="J158"/>
  <c r="J194"/>
  <c r="M194"/>
  <c r="M227"/>
  <c r="J227"/>
  <c r="J153"/>
  <c r="M153"/>
  <c r="J201"/>
  <c r="M201"/>
  <c r="J62"/>
  <c r="M62"/>
  <c r="J98"/>
  <c r="M98"/>
  <c r="J43"/>
  <c r="M43"/>
  <c r="M167"/>
  <c r="J167"/>
  <c r="J59"/>
  <c r="M59"/>
  <c r="M85"/>
  <c r="J85"/>
  <c r="M237"/>
  <c r="J237"/>
  <c r="M137"/>
  <c r="J137"/>
  <c r="J160"/>
  <c r="M160"/>
  <c r="M24"/>
  <c r="J24"/>
  <c r="M88"/>
  <c r="J88"/>
  <c r="M51"/>
  <c r="J51"/>
  <c r="J132"/>
  <c r="M132"/>
  <c r="J75"/>
  <c r="M75"/>
  <c r="J11"/>
  <c r="M11"/>
  <c r="M50"/>
  <c r="J50"/>
  <c r="M134"/>
  <c r="J134"/>
  <c r="J180"/>
  <c r="M180"/>
  <c r="J197"/>
  <c r="M197"/>
  <c r="M196"/>
  <c r="J196"/>
  <c r="J20"/>
  <c r="M20"/>
  <c r="M226"/>
  <c r="J226"/>
  <c r="J4"/>
  <c r="M4"/>
  <c r="J127"/>
  <c r="M127"/>
  <c r="M186"/>
  <c r="J186"/>
  <c r="J81"/>
  <c r="M81"/>
  <c r="M231"/>
  <c r="J231"/>
  <c r="M46"/>
  <c r="J46"/>
  <c r="J125"/>
  <c r="M125"/>
  <c r="M177"/>
  <c r="J177"/>
  <c r="J209"/>
  <c r="M209"/>
  <c r="M152"/>
  <c r="J152"/>
  <c r="M212"/>
  <c r="J212"/>
  <c r="M28"/>
  <c r="J28"/>
  <c r="J64"/>
  <c r="M64"/>
  <c r="M92"/>
  <c r="J92"/>
  <c r="M10"/>
  <c r="J10"/>
  <c r="M171"/>
  <c r="J171"/>
  <c r="M144"/>
  <c r="J144"/>
  <c r="M61"/>
  <c r="J61"/>
  <c r="J240"/>
  <c r="M240"/>
  <c r="J15"/>
  <c r="M15"/>
  <c r="J17"/>
  <c r="M17"/>
  <c r="M25"/>
  <c r="J25"/>
  <c r="J23"/>
  <c r="M23"/>
  <c r="J27"/>
  <c r="M27"/>
  <c r="B10" i="9"/>
  <c r="D10" s="1"/>
  <c r="A66" i="3"/>
  <c r="A38"/>
  <c r="B6" i="9"/>
  <c r="D6" s="1"/>
  <c r="C188" i="11"/>
  <c r="E188" s="1"/>
  <c r="K116" s="1"/>
  <c r="L116" s="1"/>
  <c r="O230" i="3"/>
  <c r="A143" l="1"/>
  <c r="B21" i="9"/>
  <c r="D21" s="1"/>
  <c r="A171" i="3"/>
  <c r="B25" i="9"/>
  <c r="D25" s="1"/>
  <c r="B20"/>
  <c r="D20" s="1"/>
  <c r="A136" i="3"/>
  <c r="B9" i="9"/>
  <c r="D9" s="1"/>
  <c r="A59" i="3"/>
  <c r="B26" i="9"/>
  <c r="D26" s="1"/>
  <c r="A178" i="3"/>
  <c r="B23" i="9"/>
  <c r="D23" s="1"/>
  <c r="A157" i="3"/>
  <c r="B19" i="9"/>
  <c r="D19" s="1"/>
  <c r="A129" i="3"/>
  <c r="A122"/>
  <c r="B18" i="9"/>
  <c r="D18" s="1"/>
  <c r="B28"/>
  <c r="D28" s="1"/>
  <c r="A192" i="3"/>
  <c r="J116" i="11"/>
  <c r="M116"/>
  <c r="B13" i="9"/>
  <c r="D13" s="1"/>
  <c r="A87" i="3"/>
  <c r="K42" i="11"/>
  <c r="L42" s="1"/>
  <c r="K40"/>
  <c r="L40" s="1"/>
  <c r="K105"/>
  <c r="L105" s="1"/>
  <c r="K118"/>
  <c r="L118" s="1"/>
  <c r="K183"/>
  <c r="L183" s="1"/>
  <c r="K11"/>
  <c r="L11" s="1"/>
  <c r="K132"/>
  <c r="L132" s="1"/>
  <c r="K176"/>
  <c r="L176" s="1"/>
  <c r="K87"/>
  <c r="L87" s="1"/>
  <c r="K114"/>
  <c r="L114" s="1"/>
  <c r="K101"/>
  <c r="L101" s="1"/>
  <c r="K43"/>
  <c r="L43" s="1"/>
  <c r="K134"/>
  <c r="L134" s="1"/>
  <c r="K184"/>
  <c r="L184" s="1"/>
  <c r="K210"/>
  <c r="L210" s="1"/>
  <c r="K232"/>
  <c r="L232" s="1"/>
  <c r="K195"/>
  <c r="L195" s="1"/>
  <c r="K104"/>
  <c r="L104" s="1"/>
  <c r="K152"/>
  <c r="L152" s="1"/>
  <c r="K63"/>
  <c r="L63" s="1"/>
  <c r="K58"/>
  <c r="L58" s="1"/>
  <c r="K153"/>
  <c r="L153" s="1"/>
  <c r="K73"/>
  <c r="L73" s="1"/>
  <c r="K209"/>
  <c r="L209" s="1"/>
  <c r="K133"/>
  <c r="L133" s="1"/>
  <c r="K224"/>
  <c r="L224" s="1"/>
  <c r="K39"/>
  <c r="L39" s="1"/>
  <c r="K159"/>
  <c r="L159" s="1"/>
  <c r="K9"/>
  <c r="L9" s="1"/>
  <c r="K161"/>
  <c r="L161" s="1"/>
  <c r="K174"/>
  <c r="L174" s="1"/>
  <c r="K46"/>
  <c r="L46" s="1"/>
  <c r="K80"/>
  <c r="L80" s="1"/>
  <c r="K185"/>
  <c r="L185" s="1"/>
  <c r="K18"/>
  <c r="L18" s="1"/>
  <c r="K33"/>
  <c r="L33" s="1"/>
  <c r="K207"/>
  <c r="L207" s="1"/>
  <c r="K119"/>
  <c r="L119" s="1"/>
  <c r="K74"/>
  <c r="L74" s="1"/>
  <c r="K193"/>
  <c r="L193" s="1"/>
  <c r="K6"/>
  <c r="L6" s="1"/>
  <c r="K117"/>
  <c r="L117" s="1"/>
  <c r="K97"/>
  <c r="L97" s="1"/>
  <c r="K24"/>
  <c r="L24" s="1"/>
  <c r="K35"/>
  <c r="L35" s="1"/>
  <c r="K212"/>
  <c r="L212" s="1"/>
  <c r="K28"/>
  <c r="L28" s="1"/>
  <c r="K200"/>
  <c r="L200" s="1"/>
  <c r="K188"/>
  <c r="L188" s="1"/>
  <c r="K156"/>
  <c r="L156" s="1"/>
  <c r="K51"/>
  <c r="L51" s="1"/>
  <c r="K70"/>
  <c r="L70" s="1"/>
  <c r="K8"/>
  <c r="L8" s="1"/>
  <c r="K181"/>
  <c r="L181" s="1"/>
  <c r="K48"/>
  <c r="L48" s="1"/>
  <c r="K238"/>
  <c r="L238" s="1"/>
  <c r="K141"/>
  <c r="L141" s="1"/>
  <c r="K106"/>
  <c r="L106" s="1"/>
  <c r="K89"/>
  <c r="L89" s="1"/>
  <c r="K20"/>
  <c r="L20" s="1"/>
  <c r="K78"/>
  <c r="L78" s="1"/>
  <c r="K75"/>
  <c r="L75" s="1"/>
  <c r="K98"/>
  <c r="L98" s="1"/>
  <c r="K146"/>
  <c r="L146" s="1"/>
  <c r="K154"/>
  <c r="L154" s="1"/>
  <c r="K71"/>
  <c r="L71" s="1"/>
  <c r="K145"/>
  <c r="L145" s="1"/>
  <c r="K222"/>
  <c r="L222" s="1"/>
  <c r="K140"/>
  <c r="L140" s="1"/>
  <c r="K53"/>
  <c r="L53" s="1"/>
  <c r="K22"/>
  <c r="L22" s="1"/>
  <c r="K204"/>
  <c r="L204" s="1"/>
  <c r="K217"/>
  <c r="L217" s="1"/>
  <c r="K90"/>
  <c r="L90" s="1"/>
  <c r="K150"/>
  <c r="L150" s="1"/>
  <c r="K7"/>
  <c r="L7" s="1"/>
  <c r="K108"/>
  <c r="L108" s="1"/>
  <c r="K227"/>
  <c r="L227" s="1"/>
  <c r="K218"/>
  <c r="L218" s="1"/>
  <c r="K110"/>
  <c r="L110" s="1"/>
  <c r="K60"/>
  <c r="L60" s="1"/>
  <c r="K194"/>
  <c r="L194" s="1"/>
  <c r="K229"/>
  <c r="L229" s="1"/>
  <c r="K202"/>
  <c r="L202" s="1"/>
  <c r="K83"/>
  <c r="L83" s="1"/>
  <c r="K94"/>
  <c r="L94" s="1"/>
  <c r="K123"/>
  <c r="L123" s="1"/>
  <c r="K170"/>
  <c r="L170" s="1"/>
  <c r="K31"/>
  <c r="L31" s="1"/>
  <c r="K21"/>
  <c r="L21" s="1"/>
  <c r="K221"/>
  <c r="L221" s="1"/>
  <c r="K164"/>
  <c r="L164" s="1"/>
  <c r="K167"/>
  <c r="L167" s="1"/>
  <c r="K99"/>
  <c r="L99" s="1"/>
  <c r="K142"/>
  <c r="L142" s="1"/>
  <c r="K172"/>
  <c r="L172" s="1"/>
  <c r="K72"/>
  <c r="L72" s="1"/>
  <c r="K76"/>
  <c r="L76" s="1"/>
  <c r="K220"/>
  <c r="L220" s="1"/>
  <c r="K17"/>
  <c r="L17" s="1"/>
  <c r="K64"/>
  <c r="L64" s="1"/>
  <c r="K155"/>
  <c r="L155" s="1"/>
  <c r="K162"/>
  <c r="L162" s="1"/>
  <c r="K178"/>
  <c r="L178" s="1"/>
  <c r="K126"/>
  <c r="L126" s="1"/>
  <c r="K25"/>
  <c r="L25" s="1"/>
  <c r="K230"/>
  <c r="L230" s="1"/>
  <c r="K208"/>
  <c r="L208" s="1"/>
  <c r="K91"/>
  <c r="L91" s="1"/>
  <c r="K201"/>
  <c r="L201" s="1"/>
  <c r="K189"/>
  <c r="L189" s="1"/>
  <c r="K37"/>
  <c r="L37" s="1"/>
  <c r="B33" i="9"/>
  <c r="D33" s="1"/>
  <c r="A227" i="3"/>
  <c r="B36" i="9"/>
  <c r="D36" s="1"/>
  <c r="A248" i="3"/>
  <c r="B31" i="9"/>
  <c r="D31" s="1"/>
  <c r="A213" i="3"/>
  <c r="B32" i="9"/>
  <c r="D32" s="1"/>
  <c r="A220" i="3"/>
  <c r="B14" i="9"/>
  <c r="D14" s="1"/>
  <c r="A94" i="3"/>
  <c r="B30" i="9"/>
  <c r="D30" s="1"/>
  <c r="A206" i="3"/>
  <c r="H14" i="10"/>
  <c r="I14" s="1"/>
  <c r="J14" s="1"/>
  <c r="H36"/>
  <c r="I36" s="1"/>
  <c r="J36" s="1"/>
  <c r="H37"/>
  <c r="I37" s="1"/>
  <c r="J37" s="1"/>
  <c r="H22"/>
  <c r="I22" s="1"/>
  <c r="J22" s="1"/>
  <c r="H31"/>
  <c r="I31" s="1"/>
  <c r="J31" s="1"/>
  <c r="H3"/>
  <c r="I3" s="1"/>
  <c r="J3" s="1"/>
  <c r="H6"/>
  <c r="I6" s="1"/>
  <c r="J6" s="1"/>
  <c r="H28"/>
  <c r="I28" s="1"/>
  <c r="J28" s="1"/>
  <c r="H24"/>
  <c r="I24" s="1"/>
  <c r="J24" s="1"/>
  <c r="H41"/>
  <c r="I41" s="1"/>
  <c r="J41" s="1"/>
  <c r="H38"/>
  <c r="I38" s="1"/>
  <c r="J38" s="1"/>
  <c r="H25"/>
  <c r="I25" s="1"/>
  <c r="J25" s="1"/>
  <c r="H8"/>
  <c r="I8" s="1"/>
  <c r="J8" s="1"/>
  <c r="H34"/>
  <c r="I34" s="1"/>
  <c r="J34" s="1"/>
  <c r="H5"/>
  <c r="I5" s="1"/>
  <c r="J5" s="1"/>
  <c r="H21"/>
  <c r="I21" s="1"/>
  <c r="J21" s="1"/>
  <c r="H30"/>
  <c r="I30" s="1"/>
  <c r="J30" s="1"/>
  <c r="H17"/>
  <c r="I17" s="1"/>
  <c r="J17" s="1"/>
  <c r="H35"/>
  <c r="I35" s="1"/>
  <c r="J35" s="1"/>
  <c r="H4"/>
  <c r="I4" s="1"/>
  <c r="J4" s="1"/>
  <c r="H33"/>
  <c r="I33" s="1"/>
  <c r="J33" s="1"/>
  <c r="H12"/>
  <c r="I12" s="1"/>
  <c r="J12" s="1"/>
  <c r="H18"/>
  <c r="I18" s="1"/>
  <c r="J18" s="1"/>
  <c r="H2"/>
  <c r="I2" s="1"/>
  <c r="J2" s="1"/>
  <c r="H13"/>
  <c r="I13" s="1"/>
  <c r="J13" s="1"/>
  <c r="H32"/>
  <c r="I32" s="1"/>
  <c r="J32" s="1"/>
  <c r="H27"/>
  <c r="I27" s="1"/>
  <c r="J27" s="1"/>
  <c r="H15"/>
  <c r="I15" s="1"/>
  <c r="J15" s="1"/>
  <c r="H40"/>
  <c r="I40" s="1"/>
  <c r="J40" s="1"/>
  <c r="H20"/>
  <c r="I20" s="1"/>
  <c r="J20" s="1"/>
  <c r="H9"/>
  <c r="I9" s="1"/>
  <c r="J9" s="1"/>
  <c r="H7"/>
  <c r="I7" s="1"/>
  <c r="J7" s="1"/>
  <c r="H10"/>
  <c r="I10" s="1"/>
  <c r="J10" s="1"/>
  <c r="H39"/>
  <c r="I39" s="1"/>
  <c r="J39" s="1"/>
  <c r="H23"/>
  <c r="I23" s="1"/>
  <c r="J23" s="1"/>
  <c r="H26"/>
  <c r="I26" s="1"/>
  <c r="J26" s="1"/>
  <c r="H29"/>
  <c r="I29" s="1"/>
  <c r="J29" s="1"/>
  <c r="H16"/>
  <c r="I16" s="1"/>
  <c r="J16" s="1"/>
  <c r="H19"/>
  <c r="I19" s="1"/>
  <c r="J19" s="1"/>
  <c r="H11"/>
  <c r="I11" s="1"/>
  <c r="J11" s="1"/>
  <c r="B3" i="9"/>
  <c r="D3" s="1"/>
  <c r="H25" s="1"/>
  <c r="A17" i="3"/>
  <c r="M4" i="9" s="1"/>
  <c r="K151" i="11"/>
  <c r="L151" s="1"/>
  <c r="K206"/>
  <c r="L206" s="1"/>
  <c r="K103"/>
  <c r="L103" s="1"/>
  <c r="K29"/>
  <c r="L29" s="1"/>
  <c r="K12"/>
  <c r="L12" s="1"/>
  <c r="K81"/>
  <c r="L81" s="1"/>
  <c r="K135"/>
  <c r="L135" s="1"/>
  <c r="K233"/>
  <c r="L233" s="1"/>
  <c r="K68"/>
  <c r="L68" s="1"/>
  <c r="K112"/>
  <c r="L112" s="1"/>
  <c r="K16"/>
  <c r="L16" s="1"/>
  <c r="K198"/>
  <c r="L198" s="1"/>
  <c r="K19"/>
  <c r="L19" s="1"/>
  <c r="K226"/>
  <c r="L226" s="1"/>
  <c r="K131"/>
  <c r="L131" s="1"/>
  <c r="K50"/>
  <c r="L50" s="1"/>
  <c r="K180"/>
  <c r="L180" s="1"/>
  <c r="K138"/>
  <c r="L138" s="1"/>
  <c r="K191"/>
  <c r="L191" s="1"/>
  <c r="K62"/>
  <c r="L62" s="1"/>
  <c r="K4"/>
  <c r="L4" s="1"/>
  <c r="K197"/>
  <c r="L197" s="1"/>
  <c r="K57"/>
  <c r="L57" s="1"/>
  <c r="K125"/>
  <c r="L125" s="1"/>
  <c r="K128"/>
  <c r="L128" s="1"/>
  <c r="K120"/>
  <c r="L120" s="1"/>
  <c r="K215"/>
  <c r="L215" s="1"/>
  <c r="K182"/>
  <c r="L182" s="1"/>
  <c r="K160"/>
  <c r="L160" s="1"/>
  <c r="K109"/>
  <c r="L109" s="1"/>
  <c r="K47"/>
  <c r="L47" s="1"/>
  <c r="K92"/>
  <c r="L92" s="1"/>
  <c r="K26"/>
  <c r="L26" s="1"/>
  <c r="K121"/>
  <c r="L121" s="1"/>
  <c r="K186"/>
  <c r="L186" s="1"/>
  <c r="K32"/>
  <c r="L32" s="1"/>
  <c r="K27"/>
  <c r="L27" s="1"/>
  <c r="K130"/>
  <c r="L130" s="1"/>
  <c r="K65"/>
  <c r="L65" s="1"/>
  <c r="K115"/>
  <c r="L115" s="1"/>
  <c r="K169"/>
  <c r="L169" s="1"/>
  <c r="K59"/>
  <c r="L59" s="1"/>
  <c r="K107"/>
  <c r="L107" s="1"/>
  <c r="K10"/>
  <c r="L10" s="1"/>
  <c r="K149"/>
  <c r="L149" s="1"/>
  <c r="K3"/>
  <c r="L3" s="1"/>
  <c r="K111"/>
  <c r="L111" s="1"/>
  <c r="K187"/>
  <c r="L187" s="1"/>
  <c r="K157"/>
  <c r="L157" s="1"/>
  <c r="K231"/>
  <c r="L231" s="1"/>
  <c r="K148"/>
  <c r="L148" s="1"/>
  <c r="K30"/>
  <c r="L30" s="1"/>
  <c r="K93"/>
  <c r="L93" s="1"/>
  <c r="K171"/>
  <c r="L171" s="1"/>
  <c r="K55"/>
  <c r="L55" s="1"/>
  <c r="K66"/>
  <c r="L66" s="1"/>
  <c r="K175"/>
  <c r="L175" s="1"/>
  <c r="K147"/>
  <c r="L147" s="1"/>
  <c r="K77"/>
  <c r="L77" s="1"/>
  <c r="K61"/>
  <c r="L61" s="1"/>
  <c r="K45"/>
  <c r="L45" s="1"/>
  <c r="K166"/>
  <c r="L166" s="1"/>
  <c r="K143"/>
  <c r="L143" s="1"/>
  <c r="K136"/>
  <c r="L136" s="1"/>
  <c r="K203"/>
  <c r="L203" s="1"/>
  <c r="K129"/>
  <c r="L129" s="1"/>
  <c r="K214"/>
  <c r="L214" s="1"/>
  <c r="K15"/>
  <c r="L15" s="1"/>
  <c r="K190"/>
  <c r="L190" s="1"/>
  <c r="K213"/>
  <c r="L213" s="1"/>
  <c r="K192"/>
  <c r="L192" s="1"/>
  <c r="K124"/>
  <c r="L124" s="1"/>
  <c r="K139"/>
  <c r="L139" s="1"/>
  <c r="K219"/>
  <c r="L219" s="1"/>
  <c r="K127"/>
  <c r="L127" s="1"/>
  <c r="K38"/>
  <c r="L38" s="1"/>
  <c r="K196"/>
  <c r="L196" s="1"/>
  <c r="K179"/>
  <c r="L179" s="1"/>
  <c r="K223"/>
  <c r="L223" s="1"/>
  <c r="K236"/>
  <c r="L236" s="1"/>
  <c r="K177"/>
  <c r="L177" s="1"/>
  <c r="K96"/>
  <c r="L96" s="1"/>
  <c r="K86"/>
  <c r="L86" s="1"/>
  <c r="K205"/>
  <c r="L205" s="1"/>
  <c r="K122"/>
  <c r="L122" s="1"/>
  <c r="K23"/>
  <c r="L23" s="1"/>
  <c r="K144"/>
  <c r="L144" s="1"/>
  <c r="K41"/>
  <c r="L41" s="1"/>
  <c r="K44"/>
  <c r="L44" s="1"/>
  <c r="K56"/>
  <c r="L56" s="1"/>
  <c r="K79"/>
  <c r="L79" s="1"/>
  <c r="K69"/>
  <c r="L69" s="1"/>
  <c r="K240"/>
  <c r="L240" s="1"/>
  <c r="K52"/>
  <c r="L52" s="1"/>
  <c r="K88"/>
  <c r="L88" s="1"/>
  <c r="K102"/>
  <c r="L102" s="1"/>
  <c r="K239"/>
  <c r="L239" s="1"/>
  <c r="K173"/>
  <c r="L173" s="1"/>
  <c r="K95"/>
  <c r="L95" s="1"/>
  <c r="K82"/>
  <c r="L82" s="1"/>
  <c r="K5"/>
  <c r="L5" s="1"/>
  <c r="K13"/>
  <c r="L13" s="1"/>
  <c r="K168"/>
  <c r="L168" s="1"/>
  <c r="K2"/>
  <c r="L2" s="1"/>
  <c r="K234"/>
  <c r="L234" s="1"/>
  <c r="K85"/>
  <c r="L85" s="1"/>
  <c r="K228"/>
  <c r="L228" s="1"/>
  <c r="K100"/>
  <c r="L100" s="1"/>
  <c r="K199"/>
  <c r="L199" s="1"/>
  <c r="K36"/>
  <c r="L36" s="1"/>
  <c r="K34"/>
  <c r="L34" s="1"/>
  <c r="K241"/>
  <c r="L241" s="1"/>
  <c r="K84"/>
  <c r="L84" s="1"/>
  <c r="K237"/>
  <c r="L237" s="1"/>
  <c r="K163"/>
  <c r="L163" s="1"/>
  <c r="K158"/>
  <c r="L158" s="1"/>
  <c r="K211"/>
  <c r="L211" s="1"/>
  <c r="K165"/>
  <c r="L165" s="1"/>
  <c r="K67"/>
  <c r="L67" s="1"/>
  <c r="K14"/>
  <c r="L14" s="1"/>
  <c r="K225"/>
  <c r="L225" s="1"/>
  <c r="K235"/>
  <c r="L235" s="1"/>
  <c r="K54"/>
  <c r="L54" s="1"/>
  <c r="K49"/>
  <c r="L49" s="1"/>
  <c r="K137"/>
  <c r="L137" s="1"/>
  <c r="K113"/>
  <c r="L113" s="1"/>
  <c r="K216"/>
  <c r="L216" s="1"/>
  <c r="I25" i="9" l="1"/>
  <c r="E29" i="15"/>
  <c r="J235" i="11"/>
  <c r="M235"/>
  <c r="M14"/>
  <c r="J14"/>
  <c r="M158"/>
  <c r="J158"/>
  <c r="J36"/>
  <c r="M36"/>
  <c r="M85"/>
  <c r="J85"/>
  <c r="J82"/>
  <c r="M82"/>
  <c r="M102"/>
  <c r="J102"/>
  <c r="J52"/>
  <c r="M52"/>
  <c r="M216"/>
  <c r="J216"/>
  <c r="J137"/>
  <c r="M137"/>
  <c r="J54"/>
  <c r="M54"/>
  <c r="J225"/>
  <c r="M225"/>
  <c r="J67"/>
  <c r="M67"/>
  <c r="M211"/>
  <c r="J211"/>
  <c r="M163"/>
  <c r="J163"/>
  <c r="J84"/>
  <c r="M84"/>
  <c r="M34"/>
  <c r="J34"/>
  <c r="M199"/>
  <c r="J199"/>
  <c r="M228"/>
  <c r="J228"/>
  <c r="J234"/>
  <c r="M234"/>
  <c r="M168"/>
  <c r="J168"/>
  <c r="J5"/>
  <c r="M5"/>
  <c r="M95"/>
  <c r="J95"/>
  <c r="M239"/>
  <c r="J239"/>
  <c r="J88"/>
  <c r="M88"/>
  <c r="M240"/>
  <c r="J240"/>
  <c r="M79"/>
  <c r="J79"/>
  <c r="J44"/>
  <c r="M44"/>
  <c r="M144"/>
  <c r="J144"/>
  <c r="J122"/>
  <c r="M122"/>
  <c r="J86"/>
  <c r="M86"/>
  <c r="M177"/>
  <c r="J177"/>
  <c r="J223"/>
  <c r="M223"/>
  <c r="M196"/>
  <c r="J196"/>
  <c r="M127"/>
  <c r="J127"/>
  <c r="M139"/>
  <c r="J139"/>
  <c r="J192"/>
  <c r="M192"/>
  <c r="M190"/>
  <c r="J190"/>
  <c r="J214"/>
  <c r="M214"/>
  <c r="J203"/>
  <c r="M203"/>
  <c r="M143"/>
  <c r="J143"/>
  <c r="M45"/>
  <c r="J45"/>
  <c r="M77"/>
  <c r="J77"/>
  <c r="J175"/>
  <c r="M175"/>
  <c r="J55"/>
  <c r="M55"/>
  <c r="M93"/>
  <c r="J93"/>
  <c r="J148"/>
  <c r="M148"/>
  <c r="J157"/>
  <c r="M157"/>
  <c r="J111"/>
  <c r="M111"/>
  <c r="J149"/>
  <c r="M149"/>
  <c r="M107"/>
  <c r="J107"/>
  <c r="J169"/>
  <c r="M169"/>
  <c r="M65"/>
  <c r="J65"/>
  <c r="J27"/>
  <c r="M27"/>
  <c r="J186"/>
  <c r="M186"/>
  <c r="J26"/>
  <c r="M26"/>
  <c r="M47"/>
  <c r="J47"/>
  <c r="J160"/>
  <c r="M160"/>
  <c r="J215"/>
  <c r="M215"/>
  <c r="M128"/>
  <c r="J128"/>
  <c r="J57"/>
  <c r="M57"/>
  <c r="J4"/>
  <c r="M4"/>
  <c r="M191"/>
  <c r="J191"/>
  <c r="J180"/>
  <c r="M180"/>
  <c r="M131"/>
  <c r="J131"/>
  <c r="M19"/>
  <c r="J19"/>
  <c r="J16"/>
  <c r="M16"/>
  <c r="M68"/>
  <c r="J68"/>
  <c r="M135"/>
  <c r="J135"/>
  <c r="M12"/>
  <c r="J12"/>
  <c r="M103"/>
  <c r="J103"/>
  <c r="J151"/>
  <c r="M151"/>
  <c r="M189"/>
  <c r="J189"/>
  <c r="J91"/>
  <c r="M91"/>
  <c r="M230"/>
  <c r="J230"/>
  <c r="J126"/>
  <c r="M126"/>
  <c r="M162"/>
  <c r="J162"/>
  <c r="J64"/>
  <c r="M64"/>
  <c r="M220"/>
  <c r="J220"/>
  <c r="M72"/>
  <c r="J72"/>
  <c r="J142"/>
  <c r="M142"/>
  <c r="J167"/>
  <c r="M167"/>
  <c r="J221"/>
  <c r="M221"/>
  <c r="J31"/>
  <c r="M31"/>
  <c r="M123"/>
  <c r="J123"/>
  <c r="J83"/>
  <c r="M83"/>
  <c r="M229"/>
  <c r="J229"/>
  <c r="J60"/>
  <c r="M60"/>
  <c r="M218"/>
  <c r="J218"/>
  <c r="M108"/>
  <c r="J108"/>
  <c r="J150"/>
  <c r="M150"/>
  <c r="J217"/>
  <c r="M217"/>
  <c r="M22"/>
  <c r="J22"/>
  <c r="M140"/>
  <c r="J140"/>
  <c r="M145"/>
  <c r="J145"/>
  <c r="J154"/>
  <c r="M154"/>
  <c r="M98"/>
  <c r="J98"/>
  <c r="M78"/>
  <c r="J78"/>
  <c r="M89"/>
  <c r="J89"/>
  <c r="M141"/>
  <c r="J141"/>
  <c r="J48"/>
  <c r="M48"/>
  <c r="M8"/>
  <c r="J8"/>
  <c r="M51"/>
  <c r="J51"/>
  <c r="J188"/>
  <c r="M188"/>
  <c r="M28"/>
  <c r="J28"/>
  <c r="J35"/>
  <c r="M35"/>
  <c r="M97"/>
  <c r="J97"/>
  <c r="M6"/>
  <c r="J6"/>
  <c r="J74"/>
  <c r="M74"/>
  <c r="M207"/>
  <c r="J207"/>
  <c r="M18"/>
  <c r="J18"/>
  <c r="M80"/>
  <c r="J80"/>
  <c r="M174"/>
  <c r="J174"/>
  <c r="J9"/>
  <c r="M9"/>
  <c r="J39"/>
  <c r="M39"/>
  <c r="M133"/>
  <c r="J133"/>
  <c r="M73"/>
  <c r="J73"/>
  <c r="J58"/>
  <c r="M58"/>
  <c r="M152"/>
  <c r="J152"/>
  <c r="J195"/>
  <c r="M195"/>
  <c r="M210"/>
  <c r="J210"/>
  <c r="J134"/>
  <c r="M134"/>
  <c r="M101"/>
  <c r="J101"/>
  <c r="M87"/>
  <c r="J87"/>
  <c r="M132"/>
  <c r="J132"/>
  <c r="J183"/>
  <c r="M183"/>
  <c r="J105"/>
  <c r="M105"/>
  <c r="M42"/>
  <c r="J42"/>
  <c r="H41" i="9"/>
  <c r="I41" s="1"/>
  <c r="H5"/>
  <c r="H4"/>
  <c r="H20"/>
  <c r="H21"/>
  <c r="H38"/>
  <c r="I38" s="1"/>
  <c r="H32"/>
  <c r="I32" s="1"/>
  <c r="H13"/>
  <c r="H6"/>
  <c r="H34"/>
  <c r="I34" s="1"/>
  <c r="H7"/>
  <c r="H24"/>
  <c r="H11"/>
  <c r="H22"/>
  <c r="H14"/>
  <c r="H29"/>
  <c r="H40"/>
  <c r="I40" s="1"/>
  <c r="H10"/>
  <c r="H30"/>
  <c r="H36"/>
  <c r="I36" s="1"/>
  <c r="M37" i="10"/>
  <c r="M34"/>
  <c r="M21"/>
  <c r="M7"/>
  <c r="M33" i="9"/>
  <c r="M25"/>
  <c r="M32"/>
  <c r="M17" i="10"/>
  <c r="M31"/>
  <c r="M11" i="9"/>
  <c r="M41"/>
  <c r="M14" i="10"/>
  <c r="M11"/>
  <c r="M3" i="9"/>
  <c r="M38" i="10"/>
  <c r="M16"/>
  <c r="M23"/>
  <c r="M15" i="9"/>
  <c r="M5" i="10"/>
  <c r="M40"/>
  <c r="M33"/>
  <c r="M39"/>
  <c r="M16" i="9"/>
  <c r="M31"/>
  <c r="M9"/>
  <c r="M30" i="10"/>
  <c r="M30" i="9"/>
  <c r="M36" i="10"/>
  <c r="M27" i="9"/>
  <c r="M24"/>
  <c r="M29" i="10"/>
  <c r="M12"/>
  <c r="M18" i="9"/>
  <c r="M21"/>
  <c r="M18" i="10"/>
  <c r="M36" i="9"/>
  <c r="M19" i="10"/>
  <c r="M27"/>
  <c r="M29" i="9"/>
  <c r="M41" i="10"/>
  <c r="M113" i="11"/>
  <c r="J113"/>
  <c r="J49"/>
  <c r="M49"/>
  <c r="J165"/>
  <c r="M165"/>
  <c r="J237"/>
  <c r="M237"/>
  <c r="M241"/>
  <c r="J241"/>
  <c r="M100"/>
  <c r="J100"/>
  <c r="M2"/>
  <c r="J2"/>
  <c r="J13"/>
  <c r="M13"/>
  <c r="M173"/>
  <c r="J173"/>
  <c r="M69"/>
  <c r="J69"/>
  <c r="J56"/>
  <c r="M56"/>
  <c r="J41"/>
  <c r="M41"/>
  <c r="J23"/>
  <c r="M23"/>
  <c r="J205"/>
  <c r="M205"/>
  <c r="M96"/>
  <c r="J96"/>
  <c r="J236"/>
  <c r="M236"/>
  <c r="M179"/>
  <c r="J179"/>
  <c r="M38"/>
  <c r="J38"/>
  <c r="M219"/>
  <c r="J219"/>
  <c r="J124"/>
  <c r="M124"/>
  <c r="J213"/>
  <c r="M213"/>
  <c r="J15"/>
  <c r="M15"/>
  <c r="M129"/>
  <c r="J129"/>
  <c r="J136"/>
  <c r="M136"/>
  <c r="J166"/>
  <c r="M166"/>
  <c r="M61"/>
  <c r="J61"/>
  <c r="M147"/>
  <c r="J147"/>
  <c r="M66"/>
  <c r="J66"/>
  <c r="M171"/>
  <c r="J171"/>
  <c r="M30"/>
  <c r="J30"/>
  <c r="J231"/>
  <c r="M231"/>
  <c r="M187"/>
  <c r="J187"/>
  <c r="J3"/>
  <c r="M3"/>
  <c r="J10"/>
  <c r="M10"/>
  <c r="M59"/>
  <c r="J59"/>
  <c r="M115"/>
  <c r="J115"/>
  <c r="J130"/>
  <c r="M130"/>
  <c r="M32"/>
  <c r="J32"/>
  <c r="J121"/>
  <c r="M121"/>
  <c r="M92"/>
  <c r="J92"/>
  <c r="M109"/>
  <c r="J109"/>
  <c r="M182"/>
  <c r="J182"/>
  <c r="J120"/>
  <c r="M120"/>
  <c r="M125"/>
  <c r="J125"/>
  <c r="M197"/>
  <c r="J197"/>
  <c r="J62"/>
  <c r="M62"/>
  <c r="J138"/>
  <c r="M138"/>
  <c r="J50"/>
  <c r="M50"/>
  <c r="M226"/>
  <c r="J226"/>
  <c r="M198"/>
  <c r="J198"/>
  <c r="M112"/>
  <c r="J112"/>
  <c r="M233"/>
  <c r="J233"/>
  <c r="J81"/>
  <c r="M81"/>
  <c r="M29"/>
  <c r="J29"/>
  <c r="M206"/>
  <c r="J206"/>
  <c r="J37"/>
  <c r="M37"/>
  <c r="M201"/>
  <c r="J201"/>
  <c r="J208"/>
  <c r="M208"/>
  <c r="J25"/>
  <c r="M25"/>
  <c r="M178"/>
  <c r="J178"/>
  <c r="J155"/>
  <c r="M155"/>
  <c r="M17"/>
  <c r="J17"/>
  <c r="M76"/>
  <c r="J76"/>
  <c r="M172"/>
  <c r="J172"/>
  <c r="M99"/>
  <c r="J99"/>
  <c r="J164"/>
  <c r="M164"/>
  <c r="M21"/>
  <c r="J21"/>
  <c r="J170"/>
  <c r="M170"/>
  <c r="M94"/>
  <c r="J94"/>
  <c r="J202"/>
  <c r="M202"/>
  <c r="J194"/>
  <c r="M194"/>
  <c r="M110"/>
  <c r="J110"/>
  <c r="J227"/>
  <c r="M227"/>
  <c r="J7"/>
  <c r="M7"/>
  <c r="J90"/>
  <c r="M90"/>
  <c r="M204"/>
  <c r="J204"/>
  <c r="M53"/>
  <c r="J53"/>
  <c r="J222"/>
  <c r="M222"/>
  <c r="J71"/>
  <c r="M71"/>
  <c r="M146"/>
  <c r="J146"/>
  <c r="M75"/>
  <c r="J75"/>
  <c r="J20"/>
  <c r="M20"/>
  <c r="J106"/>
  <c r="M106"/>
  <c r="M238"/>
  <c r="J238"/>
  <c r="J181"/>
  <c r="M181"/>
  <c r="M70"/>
  <c r="J70"/>
  <c r="J156"/>
  <c r="M156"/>
  <c r="M200"/>
  <c r="J200"/>
  <c r="M212"/>
  <c r="J212"/>
  <c r="M24"/>
  <c r="J24"/>
  <c r="M117"/>
  <c r="J117"/>
  <c r="M193"/>
  <c r="J193"/>
  <c r="M119"/>
  <c r="J119"/>
  <c r="M33"/>
  <c r="J33"/>
  <c r="J185"/>
  <c r="M185"/>
  <c r="J46"/>
  <c r="M46"/>
  <c r="M161"/>
  <c r="J161"/>
  <c r="J159"/>
  <c r="M159"/>
  <c r="J224"/>
  <c r="M224"/>
  <c r="M209"/>
  <c r="J209"/>
  <c r="M153"/>
  <c r="J153"/>
  <c r="M63"/>
  <c r="J63"/>
  <c r="M104"/>
  <c r="J104"/>
  <c r="J232"/>
  <c r="M232"/>
  <c r="M184"/>
  <c r="J184"/>
  <c r="J43"/>
  <c r="M43"/>
  <c r="M114"/>
  <c r="J114"/>
  <c r="M176"/>
  <c r="J176"/>
  <c r="J11"/>
  <c r="M11"/>
  <c r="J118"/>
  <c r="M118"/>
  <c r="M40"/>
  <c r="J40"/>
  <c r="H16" i="9"/>
  <c r="H17"/>
  <c r="H2"/>
  <c r="H9"/>
  <c r="H8"/>
  <c r="H33"/>
  <c r="I33" s="1"/>
  <c r="H18"/>
  <c r="H19"/>
  <c r="H27"/>
  <c r="H3"/>
  <c r="H28"/>
  <c r="H23"/>
  <c r="H39"/>
  <c r="I39" s="1"/>
  <c r="H15"/>
  <c r="H26"/>
  <c r="H12"/>
  <c r="H35"/>
  <c r="I35" s="1"/>
  <c r="H37"/>
  <c r="I37" s="1"/>
  <c r="H31"/>
  <c r="I31" s="1"/>
  <c r="M22"/>
  <c r="M23"/>
  <c r="M35" i="10"/>
  <c r="M2"/>
  <c r="M28" i="9"/>
  <c r="M2"/>
  <c r="M17"/>
  <c r="M12"/>
  <c r="M6" i="10"/>
  <c r="M37" i="9"/>
  <c r="M39"/>
  <c r="M22" i="10"/>
  <c r="M13"/>
  <c r="M34" i="9"/>
  <c r="M40"/>
  <c r="M28" i="10"/>
  <c r="M7" i="9"/>
  <c r="M5"/>
  <c r="M13"/>
  <c r="M26"/>
  <c r="M8"/>
  <c r="M20"/>
  <c r="M10" i="10"/>
  <c r="M26"/>
  <c r="M9"/>
  <c r="M25"/>
  <c r="M6" i="9"/>
  <c r="M32" i="10"/>
  <c r="M10" i="9"/>
  <c r="M20" i="10"/>
  <c r="M19" i="9"/>
  <c r="M38"/>
  <c r="M15" i="10"/>
  <c r="M8"/>
  <c r="M3"/>
  <c r="M24"/>
  <c r="M4"/>
  <c r="M35" i="9"/>
  <c r="M14"/>
  <c r="U31" l="1"/>
  <c r="J31"/>
  <c r="A30" i="12" s="1"/>
  <c r="P30" i="13" s="1"/>
  <c r="U35" i="9"/>
  <c r="J35"/>
  <c r="A34" i="12" s="1"/>
  <c r="P34" i="13" s="1"/>
  <c r="I26" i="9"/>
  <c r="E30" i="15"/>
  <c r="U39" i="9"/>
  <c r="J39"/>
  <c r="A38" i="12" s="1"/>
  <c r="P38" i="13" s="1"/>
  <c r="E32" i="15"/>
  <c r="I28" i="9"/>
  <c r="I27"/>
  <c r="E31" i="15"/>
  <c r="E22"/>
  <c r="I18" i="9"/>
  <c r="I8"/>
  <c r="E12" i="15"/>
  <c r="I2" i="9"/>
  <c r="E6" i="15"/>
  <c r="E20"/>
  <c r="I16" i="9"/>
  <c r="E34" i="15"/>
  <c r="I30" i="9"/>
  <c r="U40"/>
  <c r="J40"/>
  <c r="A39" i="12" s="1"/>
  <c r="P39" i="13" s="1"/>
  <c r="I14" i="9"/>
  <c r="E18" i="15"/>
  <c r="I11" i="9"/>
  <c r="E15" i="15"/>
  <c r="I7" i="9"/>
  <c r="E11" i="15"/>
  <c r="I6" i="9"/>
  <c r="E10" i="15"/>
  <c r="U32" i="9"/>
  <c r="J32"/>
  <c r="A31" i="12" s="1"/>
  <c r="P31" i="13" s="1"/>
  <c r="I21" i="9"/>
  <c r="E25" i="15"/>
  <c r="I4" i="9"/>
  <c r="E8" i="15"/>
  <c r="U41" i="9"/>
  <c r="J41"/>
  <c r="A40" i="12" s="1"/>
  <c r="P40" i="13" s="1"/>
  <c r="U25" i="9"/>
  <c r="G29" i="15" s="1"/>
  <c r="J25" i="9"/>
  <c r="J37"/>
  <c r="A36" i="12" s="1"/>
  <c r="P36" i="13" s="1"/>
  <c r="U37" i="9"/>
  <c r="I12"/>
  <c r="E16" i="15"/>
  <c r="E19"/>
  <c r="I15" i="9"/>
  <c r="I23"/>
  <c r="E27" i="15"/>
  <c r="E7"/>
  <c r="I3" i="9"/>
  <c r="I19"/>
  <c r="E23" i="15"/>
  <c r="U33" i="9"/>
  <c r="J33"/>
  <c r="A32" i="12" s="1"/>
  <c r="P32" i="13" s="1"/>
  <c r="E13" i="15"/>
  <c r="I9" i="9"/>
  <c r="E21" i="15"/>
  <c r="I17" i="9"/>
  <c r="U36"/>
  <c r="J36"/>
  <c r="A35" i="12" s="1"/>
  <c r="P35" i="13" s="1"/>
  <c r="E14" i="15"/>
  <c r="I10" i="9"/>
  <c r="I29"/>
  <c r="E33" i="15"/>
  <c r="E26"/>
  <c r="I22" i="9"/>
  <c r="I24"/>
  <c r="E28" i="15"/>
  <c r="U34" i="9"/>
  <c r="J34"/>
  <c r="A33" i="12" s="1"/>
  <c r="P33" i="13" s="1"/>
  <c r="I13" i="9"/>
  <c r="E17" i="15"/>
  <c r="U38" i="9"/>
  <c r="J38"/>
  <c r="A37" i="12" s="1"/>
  <c r="P37" i="13" s="1"/>
  <c r="I20" i="9"/>
  <c r="E24" i="15"/>
  <c r="E9"/>
  <c r="I5" i="9"/>
  <c r="U20" l="1"/>
  <c r="G24" i="15" s="1"/>
  <c r="J20" i="9"/>
  <c r="U13"/>
  <c r="G17" i="15" s="1"/>
  <c r="J13" i="9"/>
  <c r="U24"/>
  <c r="G28" i="15" s="1"/>
  <c r="J24" i="9"/>
  <c r="U29"/>
  <c r="G33" i="15" s="1"/>
  <c r="J29" i="9"/>
  <c r="U19"/>
  <c r="G23" i="15" s="1"/>
  <c r="J19" i="9"/>
  <c r="U23"/>
  <c r="G27" i="15" s="1"/>
  <c r="J23" i="9"/>
  <c r="U12"/>
  <c r="G16" i="15" s="1"/>
  <c r="J12" i="9"/>
  <c r="J4"/>
  <c r="U4"/>
  <c r="G8" i="15" s="1"/>
  <c r="U21" i="9"/>
  <c r="G25" i="15" s="1"/>
  <c r="J21" i="9"/>
  <c r="J6"/>
  <c r="U6"/>
  <c r="G10" i="15" s="1"/>
  <c r="U7" i="9"/>
  <c r="G11" i="15" s="1"/>
  <c r="J7" i="9"/>
  <c r="U11"/>
  <c r="G15" i="15" s="1"/>
  <c r="J11" i="9"/>
  <c r="U14"/>
  <c r="G18" i="15" s="1"/>
  <c r="J14" i="9"/>
  <c r="U2"/>
  <c r="G6" i="15" s="1"/>
  <c r="J2" i="9"/>
  <c r="U8"/>
  <c r="G12" i="15" s="1"/>
  <c r="J8" i="9"/>
  <c r="U27"/>
  <c r="G31" i="15" s="1"/>
  <c r="J27" i="9"/>
  <c r="U26"/>
  <c r="G30" i="15" s="1"/>
  <c r="J26" i="9"/>
  <c r="U5"/>
  <c r="G9" i="15" s="1"/>
  <c r="J5" i="9"/>
  <c r="U22"/>
  <c r="G26" i="15" s="1"/>
  <c r="J22" i="9"/>
  <c r="J10"/>
  <c r="U10"/>
  <c r="G14" i="15" s="1"/>
  <c r="U17" i="9"/>
  <c r="G21" i="15" s="1"/>
  <c r="J17" i="9"/>
  <c r="J9"/>
  <c r="U9"/>
  <c r="G13" i="15" s="1"/>
  <c r="U3" i="9"/>
  <c r="G7" i="15" s="1"/>
  <c r="J3" i="9"/>
  <c r="J15"/>
  <c r="U15"/>
  <c r="G19" i="15" s="1"/>
  <c r="A24" i="12"/>
  <c r="P24" i="13" s="1"/>
  <c r="F29" i="15"/>
  <c r="J30" i="9"/>
  <c r="U30"/>
  <c r="G34" i="15" s="1"/>
  <c r="U16" i="9"/>
  <c r="G20" i="15" s="1"/>
  <c r="J16" i="9"/>
  <c r="U18"/>
  <c r="G22" i="15" s="1"/>
  <c r="J18" i="9"/>
  <c r="J28"/>
  <c r="U28"/>
  <c r="G32" i="15" s="1"/>
  <c r="F22" l="1"/>
  <c r="A17" i="12"/>
  <c r="P17" i="13" s="1"/>
  <c r="A15" i="12"/>
  <c r="P15" i="13" s="1"/>
  <c r="F20" i="15"/>
  <c r="A27" i="12"/>
  <c r="P27" i="13" s="1"/>
  <c r="F32" i="15"/>
  <c r="F34"/>
  <c r="A29" i="12"/>
  <c r="P29" i="13" s="1"/>
  <c r="A14" i="12"/>
  <c r="P14" i="13" s="1"/>
  <c r="F19" i="15"/>
  <c r="A8" i="12"/>
  <c r="P8" i="13" s="1"/>
  <c r="F13" i="15"/>
  <c r="A9" i="12"/>
  <c r="P9" i="13" s="1"/>
  <c r="F14" i="15"/>
  <c r="A5" i="12"/>
  <c r="P5" i="13" s="1"/>
  <c r="F10" i="15"/>
  <c r="A3" i="12"/>
  <c r="P3" i="13" s="1"/>
  <c r="F8" i="15"/>
  <c r="A2" i="12"/>
  <c r="P2" i="13" s="1"/>
  <c r="F7" i="15"/>
  <c r="A16" i="12"/>
  <c r="P16" i="13" s="1"/>
  <c r="F21" i="15"/>
  <c r="A21" i="12"/>
  <c r="P21" i="13" s="1"/>
  <c r="F26" i="15"/>
  <c r="F9"/>
  <c r="A4" i="12"/>
  <c r="P4" i="13" s="1"/>
  <c r="A25" i="12"/>
  <c r="P25" i="13" s="1"/>
  <c r="F30" i="15"/>
  <c r="A26" i="12"/>
  <c r="P26" i="13" s="1"/>
  <c r="F31" i="15"/>
  <c r="F12"/>
  <c r="A7" i="12"/>
  <c r="P7" i="13" s="1"/>
  <c r="A1" i="12"/>
  <c r="P1" i="13" s="1"/>
  <c r="F6" i="15"/>
  <c r="A13" i="12"/>
  <c r="P13" i="13" s="1"/>
  <c r="F18" i="15"/>
  <c r="F15"/>
  <c r="A10" i="12"/>
  <c r="P10" i="13" s="1"/>
  <c r="A6" i="12"/>
  <c r="P6" i="13" s="1"/>
  <c r="F11" i="15"/>
  <c r="A20" i="12"/>
  <c r="P20" i="13" s="1"/>
  <c r="F25" i="15"/>
  <c r="A11" i="12"/>
  <c r="P11" i="13" s="1"/>
  <c r="F16" i="15"/>
  <c r="A22" i="12"/>
  <c r="P22" i="13" s="1"/>
  <c r="F27" i="15"/>
  <c r="A18" i="12"/>
  <c r="P18" i="13" s="1"/>
  <c r="F23" i="15"/>
  <c r="A28" i="12"/>
  <c r="P28" i="13" s="1"/>
  <c r="F33" i="15"/>
  <c r="A23" i="12"/>
  <c r="P23" i="13" s="1"/>
  <c r="F28" i="15"/>
  <c r="A12" i="12"/>
  <c r="P12" i="13" s="1"/>
  <c r="F17" i="15"/>
  <c r="A19" i="12"/>
  <c r="P19" i="13" s="1"/>
  <c r="F24" i="15"/>
  <c r="J5" i="13" l="1"/>
</calcChain>
</file>

<file path=xl/sharedStrings.xml><?xml version="1.0" encoding="utf-8"?>
<sst xmlns="http://schemas.openxmlformats.org/spreadsheetml/2006/main" count="778" uniqueCount="136">
  <si>
    <t>w dal</t>
  </si>
  <si>
    <t>p.pal</t>
  </si>
  <si>
    <t>1000m</t>
  </si>
  <si>
    <t>60m</t>
  </si>
  <si>
    <t>PKT</t>
  </si>
  <si>
    <t>wzwyż</t>
  </si>
  <si>
    <t>NAZWISKO/IMIĘ</t>
  </si>
  <si>
    <t>pkt</t>
  </si>
  <si>
    <t>ppal</t>
  </si>
  <si>
    <t>I DZIEŃ</t>
  </si>
  <si>
    <t>RAZEM</t>
  </si>
  <si>
    <t>II DZIEŃ</t>
  </si>
  <si>
    <t>Nazwisko/imię</t>
  </si>
  <si>
    <t>Wynik</t>
  </si>
  <si>
    <t>Szkoła</t>
  </si>
  <si>
    <t>Miejsce</t>
  </si>
  <si>
    <t>Punkty(6)</t>
  </si>
  <si>
    <t>Punkty(5)</t>
  </si>
  <si>
    <t xml:space="preserve"> </t>
  </si>
  <si>
    <t>CHŁOPCY</t>
  </si>
  <si>
    <t>MIEJSCE</t>
  </si>
  <si>
    <t>Punkty</t>
  </si>
  <si>
    <t>Dolnośląskie</t>
  </si>
  <si>
    <t>Opolskie</t>
  </si>
  <si>
    <t>Świętokrzyskie</t>
  </si>
  <si>
    <t>Mazowieckie</t>
  </si>
  <si>
    <t>Łódzkie</t>
  </si>
  <si>
    <t>Śląskie</t>
  </si>
  <si>
    <t>Lubuskie</t>
  </si>
  <si>
    <t>Pomorskie</t>
  </si>
  <si>
    <t>Małopolskie</t>
  </si>
  <si>
    <t>Podlaskie</t>
  </si>
  <si>
    <t>Wielkopolskie</t>
  </si>
  <si>
    <t>Podkarpackie</t>
  </si>
  <si>
    <t>Klasyfikacja końcowa 
czwórboju la -chłopcy</t>
  </si>
  <si>
    <t>Zachodniopomorskie</t>
  </si>
  <si>
    <t>Warmińsko-mazurskie</t>
  </si>
  <si>
    <t>Kujawsko-pomorskie</t>
  </si>
  <si>
    <t>WPISZ NAZWĘ WOJEWÓDZTWA</t>
  </si>
  <si>
    <t>Opiekun</t>
  </si>
  <si>
    <t>CZWÓRBÓJ LEKKOATLETYCZNY</t>
  </si>
  <si>
    <t>1. SP</t>
  </si>
  <si>
    <t>2. SP</t>
  </si>
  <si>
    <t xml:space="preserve">FINAŁ CZWÓRBOJU LA </t>
  </si>
  <si>
    <t>FINAŁ ………….. W CZWÓRBOJU LA
MIEJSCOWOŚĆ…………….  DATA……………..</t>
  </si>
  <si>
    <t>Należy w arkuszu wyniki wpisać wg poniżego wzoru:</t>
  </si>
  <si>
    <t>4:38.20</t>
  </si>
  <si>
    <t>Dąbrowski Mateusz</t>
  </si>
  <si>
    <t>Iliński Aleksander</t>
  </si>
  <si>
    <t>Ługowski Bartosz</t>
  </si>
  <si>
    <t>Redes Maciej</t>
  </si>
  <si>
    <t>Świder Tymoteusz</t>
  </si>
  <si>
    <t>Nitychoruk Maciej</t>
  </si>
  <si>
    <t>SP8 Siedlce</t>
  </si>
  <si>
    <t>Kołacz Nikodem</t>
  </si>
  <si>
    <t>Komar Wojciech</t>
  </si>
  <si>
    <t>Markwat Natan</t>
  </si>
  <si>
    <t>Nowak Aleksander</t>
  </si>
  <si>
    <t>Trzos Szymon</t>
  </si>
  <si>
    <t>SP4 Pruszków</t>
  </si>
  <si>
    <t>Dąbrowski Aleksander</t>
  </si>
  <si>
    <t>Kushchak Kamil</t>
  </si>
  <si>
    <t>Kwiatkowski Julian</t>
  </si>
  <si>
    <t>Lipiński Cyprian</t>
  </si>
  <si>
    <t>Miron Artur</t>
  </si>
  <si>
    <t>Zień Paweł</t>
  </si>
  <si>
    <t>SP2 Szydłowiec</t>
  </si>
  <si>
    <t>Banaszczyk Dawid</t>
  </si>
  <si>
    <t>Kroguec Antoni</t>
  </si>
  <si>
    <t>May Franciszek</t>
  </si>
  <si>
    <t>Pawlak Kacper</t>
  </si>
  <si>
    <t>Sala Szymon</t>
  </si>
  <si>
    <t>Walasik Kacper</t>
  </si>
  <si>
    <t>SP9 Siedlce</t>
  </si>
  <si>
    <t>Dąbrowski Bartosz</t>
  </si>
  <si>
    <t>Kamiński Mateusz</t>
  </si>
  <si>
    <t>Krasuski Jakub</t>
  </si>
  <si>
    <t>Sajewicz Piotr</t>
  </si>
  <si>
    <t>Sypiański Szymon</t>
  </si>
  <si>
    <t>Terlikowski Ignacy</t>
  </si>
  <si>
    <t>SP1 Ostrów Maz</t>
  </si>
  <si>
    <t>Baran Wiktor</t>
  </si>
  <si>
    <t>Kaczerski Kuba</t>
  </si>
  <si>
    <t>Malec Alan</t>
  </si>
  <si>
    <t>Maliszewski Jan</t>
  </si>
  <si>
    <t>Maliszewski Michał</t>
  </si>
  <si>
    <t>Równy Krystian</t>
  </si>
  <si>
    <t>SP204 Warszawa</t>
  </si>
  <si>
    <t>Karbowski Aleksander</t>
  </si>
  <si>
    <t>Mirecki Mateusz</t>
  </si>
  <si>
    <t>Porębski Jakub</t>
  </si>
  <si>
    <t>Tuczyński Aleksander</t>
  </si>
  <si>
    <t>Zawadzki Szymon</t>
  </si>
  <si>
    <t>Zieniewicz Franciszek</t>
  </si>
  <si>
    <t>SP Zielonki Parcela</t>
  </si>
  <si>
    <t>Cisek Mikołaj</t>
  </si>
  <si>
    <t>Dyszkowski Mateusz</t>
  </si>
  <si>
    <t>Kowalski Tymoteusz</t>
  </si>
  <si>
    <t>Sołomski Oliwier</t>
  </si>
  <si>
    <t>Stepień Wojciech</t>
  </si>
  <si>
    <t>Wójcicki Maciej</t>
  </si>
  <si>
    <t>SP154 Warszawa</t>
  </si>
  <si>
    <t>Bryczyński Maksymilian</t>
  </si>
  <si>
    <t>Dąbrowski Franciszek</t>
  </si>
  <si>
    <t>Kałęcki Bartosz</t>
  </si>
  <si>
    <t>Staszkiewicz Michał</t>
  </si>
  <si>
    <t>Tomiczak Jan</t>
  </si>
  <si>
    <t>Zaniemcha Nikodem</t>
  </si>
  <si>
    <t xml:space="preserve">SP Jednorożec </t>
  </si>
  <si>
    <t>Antosiak Maciej</t>
  </si>
  <si>
    <t>Bakuła Dawid</t>
  </si>
  <si>
    <t>Bonalski Maciej</t>
  </si>
  <si>
    <t>Bors Paweł</t>
  </si>
  <si>
    <t>Pękala Bartłomiej</t>
  </si>
  <si>
    <t>Urbaniak Igor</t>
  </si>
  <si>
    <t>Balcer Antoni</t>
  </si>
  <si>
    <t>Kobielski Mateusz</t>
  </si>
  <si>
    <t>Ducki Michał</t>
  </si>
  <si>
    <t>Kochański Adrian</t>
  </si>
  <si>
    <t>Sienkiewicz Marcin</t>
  </si>
  <si>
    <t>Zwierzchowski Krystian</t>
  </si>
  <si>
    <t>SP2 Zielonka</t>
  </si>
  <si>
    <t>SP2 Mława</t>
  </si>
  <si>
    <t>Cendrowski Kacper</t>
  </si>
  <si>
    <t>Domżalski Szymon</t>
  </si>
  <si>
    <t>Jędrzejewski Kamil</t>
  </si>
  <si>
    <t>Starzak Brajan</t>
  </si>
  <si>
    <t>Czaplicki Karol</t>
  </si>
  <si>
    <t>PSP24 Radom</t>
  </si>
  <si>
    <t>SP18 Płock</t>
  </si>
  <si>
    <t>Kołodziej Adam</t>
  </si>
  <si>
    <t>Leszczyński Kacper</t>
  </si>
  <si>
    <t>Lewandowski Bartosz</t>
  </si>
  <si>
    <t>Michalski Piotr</t>
  </si>
  <si>
    <t>Płachecki Sebastian</t>
  </si>
  <si>
    <t>Olichwiruk Piotr</t>
  </si>
</sst>
</file>

<file path=xl/styles.xml><?xml version="1.0" encoding="utf-8"?>
<styleSheet xmlns="http://schemas.openxmlformats.org/spreadsheetml/2006/main">
  <numFmts count="1">
    <numFmt numFmtId="166" formatCode="0.00000"/>
  </numFmts>
  <fonts count="56">
    <font>
      <sz val="10"/>
      <name val="Arial"/>
      <charset val="238"/>
    </font>
    <font>
      <b/>
      <sz val="11"/>
      <name val="Arial CE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i/>
      <sz val="8"/>
      <color indexed="8"/>
      <name val="Arial CE"/>
      <family val="2"/>
      <charset val="238"/>
    </font>
    <font>
      <b/>
      <i/>
      <sz val="11"/>
      <color indexed="9"/>
      <name val="Arial CE"/>
      <family val="2"/>
      <charset val="238"/>
    </font>
    <font>
      <b/>
      <sz val="10"/>
      <color indexed="8"/>
      <name val="Arial CE"/>
      <charset val="238"/>
    </font>
    <font>
      <b/>
      <sz val="13"/>
      <color indexed="8"/>
      <name val="Arial CE"/>
      <family val="2"/>
      <charset val="238"/>
    </font>
    <font>
      <b/>
      <sz val="10"/>
      <color indexed="49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9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4"/>
      <color indexed="10"/>
      <name val="Arial"/>
      <family val="2"/>
      <charset val="238"/>
    </font>
    <font>
      <sz val="14"/>
      <name val="Arial"/>
      <family val="2"/>
      <charset val="238"/>
    </font>
    <font>
      <b/>
      <sz val="28"/>
      <color indexed="9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charset val="238"/>
    </font>
    <font>
      <sz val="12"/>
      <color indexed="8"/>
      <name val="Arial CE"/>
      <family val="2"/>
      <charset val="238"/>
    </font>
    <font>
      <sz val="12"/>
      <color indexed="18"/>
      <name val="Arial CE"/>
      <family val="2"/>
      <charset val="238"/>
    </font>
    <font>
      <sz val="12"/>
      <color indexed="9"/>
      <name val="Arial CE"/>
      <family val="2"/>
      <charset val="238"/>
    </font>
    <font>
      <sz val="10"/>
      <name val="Arial"/>
      <family val="2"/>
      <charset val="238"/>
    </font>
    <font>
      <sz val="12"/>
      <color indexed="8"/>
      <name val="Arial CE"/>
      <charset val="238"/>
    </font>
    <font>
      <u/>
      <sz val="8"/>
      <color indexed="12"/>
      <name val="Arial"/>
      <family val="2"/>
      <charset val="238"/>
    </font>
    <font>
      <sz val="11"/>
      <color indexed="4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2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indexed="62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62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 Narrow"/>
      <family val="2"/>
      <charset val="238"/>
    </font>
    <font>
      <sz val="11"/>
      <color indexed="59"/>
      <name val="Arial Narrow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charset val="238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5"/>
        <bgColor indexed="24"/>
      </patternFill>
    </fill>
    <fill>
      <patternFill patternType="solid">
        <fgColor indexed="21"/>
        <bgColor indexed="24"/>
      </patternFill>
    </fill>
    <fill>
      <patternFill patternType="solid">
        <fgColor indexed="52"/>
        <bgColor indexed="24"/>
      </patternFill>
    </fill>
    <fill>
      <patternFill patternType="solid">
        <fgColor indexed="48"/>
        <bgColor indexed="24"/>
      </patternFill>
    </fill>
    <fill>
      <patternFill patternType="solid">
        <fgColor indexed="51"/>
        <bgColor indexed="2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8" fillId="5" borderId="1" xfId="0" applyFont="1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7" borderId="2" xfId="0" applyFill="1" applyBorder="1"/>
    <xf numFmtId="0" fontId="10" fillId="9" borderId="0" xfId="1" applyFont="1" applyFill="1" applyAlignment="1" applyProtection="1"/>
    <xf numFmtId="1" fontId="0" fillId="6" borderId="0" xfId="0" applyNumberFormat="1" applyFill="1"/>
    <xf numFmtId="1" fontId="8" fillId="5" borderId="1" xfId="0" applyNumberFormat="1" applyFont="1" applyFill="1" applyBorder="1"/>
    <xf numFmtId="1" fontId="0" fillId="8" borderId="0" xfId="0" applyNumberFormat="1" applyFill="1"/>
    <xf numFmtId="1" fontId="0" fillId="0" borderId="0" xfId="0" applyNumberFormat="1"/>
    <xf numFmtId="166" fontId="0" fillId="0" borderId="0" xfId="0" applyNumberForma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9" borderId="0" xfId="0" applyFill="1"/>
    <xf numFmtId="0" fontId="13" fillId="9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4" fontId="20" fillId="10" borderId="1" xfId="0" applyNumberFormat="1" applyFont="1" applyFill="1" applyBorder="1" applyAlignment="1">
      <alignment horizontal="center"/>
    </xf>
    <xf numFmtId="0" fontId="20" fillId="10" borderId="1" xfId="0" applyFont="1" applyFill="1" applyBorder="1" applyAlignment="1">
      <alignment horizontal="center"/>
    </xf>
    <xf numFmtId="0" fontId="25" fillId="10" borderId="1" xfId="0" applyFont="1" applyFill="1" applyBorder="1" applyAlignment="1">
      <alignment horizontal="center"/>
    </xf>
    <xf numFmtId="4" fontId="25" fillId="10" borderId="1" xfId="0" applyNumberFormat="1" applyFont="1" applyFill="1" applyBorder="1" applyAlignment="1">
      <alignment horizontal="center"/>
    </xf>
    <xf numFmtId="2" fontId="25" fillId="10" borderId="1" xfId="0" applyNumberFormat="1" applyFont="1" applyFill="1" applyBorder="1" applyAlignment="1">
      <alignment horizontal="center"/>
    </xf>
    <xf numFmtId="1" fontId="27" fillId="4" borderId="0" xfId="0" applyNumberFormat="1" applyFont="1" applyFill="1" applyAlignment="1">
      <alignment horizontal="center"/>
    </xf>
    <xf numFmtId="0" fontId="28" fillId="9" borderId="0" xfId="0" applyFont="1" applyFill="1"/>
    <xf numFmtId="0" fontId="28" fillId="0" borderId="0" xfId="0" applyFont="1"/>
    <xf numFmtId="0" fontId="14" fillId="0" borderId="0" xfId="0" applyFont="1" applyAlignment="1">
      <alignment horizontal="left"/>
    </xf>
    <xf numFmtId="0" fontId="33" fillId="0" borderId="0" xfId="0" applyFont="1"/>
    <xf numFmtId="0" fontId="38" fillId="0" borderId="0" xfId="0" applyFont="1"/>
    <xf numFmtId="0" fontId="29" fillId="0" borderId="0" xfId="0" applyFont="1"/>
    <xf numFmtId="0" fontId="29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2" fillId="3" borderId="4" xfId="0" applyFont="1" applyFill="1" applyBorder="1"/>
    <xf numFmtId="0" fontId="0" fillId="0" borderId="5" xfId="0" applyBorder="1"/>
    <xf numFmtId="0" fontId="34" fillId="0" borderId="5" xfId="0" applyFont="1" applyBorder="1"/>
    <xf numFmtId="0" fontId="29" fillId="0" borderId="5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29" fillId="0" borderId="5" xfId="0" applyFont="1" applyBorder="1"/>
    <xf numFmtId="2" fontId="0" fillId="0" borderId="0" xfId="0" applyNumberFormat="1"/>
    <xf numFmtId="0" fontId="1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2" fontId="48" fillId="0" borderId="3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41" fillId="9" borderId="0" xfId="0" applyFont="1" applyFill="1" applyAlignment="1">
      <alignment horizontal="center"/>
    </xf>
    <xf numFmtId="1" fontId="14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48" fillId="0" borderId="3" xfId="0" applyNumberFormat="1" applyFont="1" applyBorder="1" applyAlignment="1">
      <alignment horizontal="center"/>
    </xf>
    <xf numFmtId="1" fontId="43" fillId="9" borderId="0" xfId="0" applyNumberFormat="1" applyFont="1" applyFill="1" applyAlignment="1">
      <alignment horizontal="center"/>
    </xf>
    <xf numFmtId="1" fontId="43" fillId="0" borderId="0" xfId="0" applyNumberFormat="1" applyFont="1" applyAlignment="1">
      <alignment horizontal="center"/>
    </xf>
    <xf numFmtId="1" fontId="43" fillId="9" borderId="0" xfId="0" applyNumberFormat="1" applyFont="1" applyFill="1"/>
    <xf numFmtId="1" fontId="43" fillId="0" borderId="0" xfId="0" applyNumberFormat="1" applyFont="1"/>
    <xf numFmtId="0" fontId="41" fillId="9" borderId="0" xfId="0" applyFont="1" applyFill="1"/>
    <xf numFmtId="0" fontId="41" fillId="0" borderId="0" xfId="0" applyFont="1"/>
    <xf numFmtId="0" fontId="43" fillId="9" borderId="0" xfId="0" applyFont="1" applyFill="1"/>
    <xf numFmtId="0" fontId="43" fillId="0" borderId="0" xfId="0" applyFont="1"/>
    <xf numFmtId="0" fontId="28" fillId="6" borderId="0" xfId="0" applyFont="1" applyFill="1"/>
    <xf numFmtId="0" fontId="33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8" fillId="6" borderId="0" xfId="0" applyFont="1" applyFill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50" fillId="0" borderId="0" xfId="0" applyFont="1"/>
    <xf numFmtId="0" fontId="50" fillId="9" borderId="0" xfId="0" applyFont="1" applyFill="1"/>
    <xf numFmtId="0" fontId="41" fillId="9" borderId="0" xfId="0" applyFont="1" applyFill="1" applyAlignment="1">
      <alignment horizontal="left"/>
    </xf>
    <xf numFmtId="0" fontId="41" fillId="0" borderId="0" xfId="0" applyFont="1" applyAlignment="1">
      <alignment horizontal="left"/>
    </xf>
    <xf numFmtId="0" fontId="12" fillId="9" borderId="0" xfId="0" applyFont="1" applyFill="1" applyAlignment="1">
      <alignment horizontal="left"/>
    </xf>
    <xf numFmtId="0" fontId="1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45" fillId="11" borderId="3" xfId="0" applyFont="1" applyFill="1" applyBorder="1" applyAlignment="1">
      <alignment horizontal="left"/>
    </xf>
    <xf numFmtId="0" fontId="46" fillId="0" borderId="3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4" fillId="12" borderId="3" xfId="0" applyFont="1" applyFill="1" applyBorder="1" applyAlignment="1">
      <alignment horizontal="left"/>
    </xf>
    <xf numFmtId="0" fontId="5" fillId="13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6" fillId="8" borderId="0" xfId="1" applyFont="1" applyFill="1" applyAlignment="1" applyProtection="1">
      <alignment horizontal="center"/>
    </xf>
    <xf numFmtId="0" fontId="3" fillId="8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4" fontId="21" fillId="14" borderId="1" xfId="0" applyNumberFormat="1" applyFont="1" applyFill="1" applyBorder="1" applyAlignment="1" applyProtection="1">
      <alignment horizontal="center"/>
      <protection locked="0"/>
    </xf>
    <xf numFmtId="0" fontId="23" fillId="15" borderId="1" xfId="0" applyFont="1" applyFill="1" applyBorder="1" applyAlignment="1">
      <alignment horizontal="center"/>
    </xf>
    <xf numFmtId="0" fontId="21" fillId="14" borderId="1" xfId="0" applyFont="1" applyFill="1" applyBorder="1" applyAlignment="1" applyProtection="1">
      <alignment horizontal="center"/>
      <protection locked="0"/>
    </xf>
    <xf numFmtId="2" fontId="21" fillId="14" borderId="1" xfId="0" applyNumberFormat="1" applyFont="1" applyFill="1" applyBorder="1" applyAlignment="1" applyProtection="1">
      <alignment horizontal="center"/>
      <protection locked="0"/>
    </xf>
    <xf numFmtId="0" fontId="22" fillId="16" borderId="1" xfId="0" applyFont="1" applyFill="1" applyBorder="1" applyAlignment="1">
      <alignment horizontal="center"/>
    </xf>
    <xf numFmtId="0" fontId="23" fillId="17" borderId="1" xfId="0" applyFont="1" applyFill="1" applyBorder="1" applyAlignment="1">
      <alignment horizontal="center"/>
    </xf>
    <xf numFmtId="0" fontId="24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6" fillId="10" borderId="1" xfId="0" applyFont="1" applyFill="1" applyBorder="1" applyAlignment="1">
      <alignment horizontal="left"/>
    </xf>
    <xf numFmtId="0" fontId="7" fillId="18" borderId="1" xfId="0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34" fillId="0" borderId="3" xfId="0" applyFont="1" applyBorder="1" applyAlignment="1">
      <alignment horizontal="left"/>
    </xf>
    <xf numFmtId="0" fontId="42" fillId="0" borderId="3" xfId="0" applyFont="1" applyBorder="1" applyAlignment="1">
      <alignment horizontal="left"/>
    </xf>
    <xf numFmtId="0" fontId="42" fillId="0" borderId="0" xfId="0" applyFont="1" applyAlignment="1">
      <alignment horizontal="left"/>
    </xf>
    <xf numFmtId="0" fontId="28" fillId="6" borderId="6" xfId="0" applyFont="1" applyFill="1" applyBorder="1"/>
    <xf numFmtId="0" fontId="28" fillId="6" borderId="6" xfId="0" applyFont="1" applyFill="1" applyBorder="1" applyAlignment="1">
      <alignment horizontal="center"/>
    </xf>
    <xf numFmtId="0" fontId="0" fillId="0" borderId="3" xfId="0" applyBorder="1"/>
    <xf numFmtId="0" fontId="50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51" fillId="0" borderId="5" xfId="0" applyFont="1" applyBorder="1" applyAlignment="1">
      <alignment wrapText="1"/>
    </xf>
    <xf numFmtId="0" fontId="51" fillId="0" borderId="7" xfId="0" applyFont="1" applyBorder="1" applyAlignment="1">
      <alignment wrapText="1"/>
    </xf>
    <xf numFmtId="0" fontId="52" fillId="0" borderId="7" xfId="0" applyFont="1" applyBorder="1" applyAlignment="1">
      <alignment wrapText="1"/>
    </xf>
    <xf numFmtId="0" fontId="52" fillId="0" borderId="5" xfId="0" applyFont="1" applyBorder="1" applyAlignment="1">
      <alignment wrapText="1"/>
    </xf>
    <xf numFmtId="0" fontId="2" fillId="19" borderId="0" xfId="0" applyFont="1" applyFill="1" applyAlignment="1">
      <alignment horizontal="center" wrapText="1"/>
    </xf>
    <xf numFmtId="0" fontId="2" fillId="20" borderId="0" xfId="0" applyFont="1" applyFill="1" applyAlignment="1">
      <alignment horizontal="center" wrapText="1"/>
    </xf>
    <xf numFmtId="0" fontId="5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19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9" fillId="0" borderId="10" xfId="0" applyFont="1" applyBorder="1" applyAlignment="1">
      <alignment horizontal="center" wrapText="1"/>
    </xf>
    <xf numFmtId="0" fontId="44" fillId="0" borderId="13" xfId="0" applyFont="1" applyBorder="1" applyAlignment="1">
      <alignment horizontal="center"/>
    </xf>
    <xf numFmtId="0" fontId="1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/>
    </xf>
    <xf numFmtId="0" fontId="49" fillId="0" borderId="0" xfId="0" applyFont="1" applyAlignment="1">
      <alignment horizontal="center" wrapText="1"/>
    </xf>
    <xf numFmtId="0" fontId="39" fillId="0" borderId="13" xfId="0" applyFont="1" applyBorder="1" applyAlignment="1">
      <alignment horizontal="center" wrapText="1"/>
    </xf>
    <xf numFmtId="0" fontId="40" fillId="0" borderId="13" xfId="0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1" fillId="0" borderId="11" xfId="0" applyFont="1" applyBorder="1" applyAlignment="1">
      <alignment horizontal="center" wrapText="1"/>
    </xf>
    <xf numFmtId="0" fontId="31" fillId="0" borderId="14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0" fillId="0" borderId="0" xfId="0" applyFont="1" applyAlignment="1">
      <alignment horizontal="right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331470</xdr:colOff>
      <xdr:row>1</xdr:row>
      <xdr:rowOff>154305</xdr:rowOff>
    </xdr:from>
    <xdr:to>
      <xdr:col>8</xdr:col>
      <xdr:colOff>331470</xdr:colOff>
      <xdr:row>4</xdr:row>
      <xdr:rowOff>144780</xdr:rowOff>
    </xdr:to>
    <xdr:sp macro="" textlink="">
      <xdr:nvSpPr>
        <xdr:cNvPr id="5121" name="WordArt 1"/>
        <xdr:cNvSpPr>
          <a:spLocks noChangeArrowheads="1" noChangeShapeType="1" noTextEdit="1"/>
        </xdr:cNvSpPr>
      </xdr:nvSpPr>
      <xdr:spPr bwMode="auto">
        <a:xfrm>
          <a:off x="333375" y="400050"/>
          <a:ext cx="1219200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l-PL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60 m </a:t>
          </a:r>
        </a:p>
        <a:p>
          <a:pPr algn="ctr" rtl="0"/>
          <a:r>
            <a:rPr lang="pl-PL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Chłopcy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28575</xdr:rowOff>
    </xdr:from>
    <xdr:to>
      <xdr:col>7</xdr:col>
      <xdr:colOff>457200</xdr:colOff>
      <xdr:row>2</xdr:row>
      <xdr:rowOff>201953</xdr:rowOff>
    </xdr:to>
    <xdr:sp macro="" textlink="">
      <xdr:nvSpPr>
        <xdr:cNvPr id="6145" name="WordArt 1"/>
        <xdr:cNvSpPr>
          <a:spLocks noChangeArrowheads="1" noChangeShapeType="1" noTextEdit="1"/>
        </xdr:cNvSpPr>
      </xdr:nvSpPr>
      <xdr:spPr bwMode="auto">
        <a:xfrm>
          <a:off x="247650" y="28575"/>
          <a:ext cx="1428750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l-PL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P. Pal</a:t>
          </a:r>
        </a:p>
        <a:p>
          <a:pPr algn="ctr" rtl="0"/>
          <a:r>
            <a:rPr lang="pl-PL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Chłopcy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154305</xdr:rowOff>
    </xdr:from>
    <xdr:to>
      <xdr:col>8</xdr:col>
      <xdr:colOff>419100</xdr:colOff>
      <xdr:row>4</xdr:row>
      <xdr:rowOff>35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266700" y="400050"/>
          <a:ext cx="1371600" cy="504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l-PL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Skok wzwyż</a:t>
          </a:r>
        </a:p>
        <a:p>
          <a:pPr algn="ctr" rtl="0"/>
          <a:r>
            <a:rPr lang="pl-PL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Chłopcy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200025</xdr:rowOff>
    </xdr:from>
    <xdr:to>
      <xdr:col>8</xdr:col>
      <xdr:colOff>523875</xdr:colOff>
      <xdr:row>3</xdr:row>
      <xdr:rowOff>106824</xdr:rowOff>
    </xdr:to>
    <xdr:sp macro="" textlink="">
      <xdr:nvSpPr>
        <xdr:cNvPr id="3073" name="WordArt 1"/>
        <xdr:cNvSpPr>
          <a:spLocks noChangeArrowheads="1" noChangeShapeType="1" noTextEdit="1"/>
        </xdr:cNvSpPr>
      </xdr:nvSpPr>
      <xdr:spPr bwMode="auto">
        <a:xfrm>
          <a:off x="123825" y="447675"/>
          <a:ext cx="1619250" cy="342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l-PL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 Skok w dal</a:t>
          </a:r>
        </a:p>
        <a:p>
          <a:pPr algn="ctr" rtl="0"/>
          <a:r>
            <a:rPr lang="pl-PL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Chłopcy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123825</xdr:rowOff>
    </xdr:from>
    <xdr:to>
      <xdr:col>7</xdr:col>
      <xdr:colOff>276225</xdr:colOff>
      <xdr:row>3</xdr:row>
      <xdr:rowOff>182945</xdr:rowOff>
    </xdr:to>
    <xdr:sp macro="" textlink="">
      <xdr:nvSpPr>
        <xdr:cNvPr id="8198" name="WordArt 6"/>
        <xdr:cNvSpPr>
          <a:spLocks noChangeArrowheads="1" noChangeShapeType="1" noTextEdit="1"/>
        </xdr:cNvSpPr>
      </xdr:nvSpPr>
      <xdr:spPr bwMode="auto">
        <a:xfrm>
          <a:off x="371475" y="123825"/>
          <a:ext cx="1123950" cy="742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l-P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Punktacja</a:t>
          </a:r>
        </a:p>
        <a:p>
          <a:pPr algn="ctr" rtl="0"/>
          <a:r>
            <a:rPr lang="pl-P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indywidualna</a:t>
          </a:r>
        </a:p>
        <a:p>
          <a:pPr algn="ctr" rtl="0"/>
          <a:r>
            <a:rPr lang="pl-P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chłopcy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125730</xdr:rowOff>
    </xdr:from>
    <xdr:to>
      <xdr:col>8</xdr:col>
      <xdr:colOff>878176</xdr:colOff>
      <xdr:row>4</xdr:row>
      <xdr:rowOff>123895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266700" y="381000"/>
          <a:ext cx="1828800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l-PL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1000 m</a:t>
          </a:r>
        </a:p>
        <a:p>
          <a:pPr algn="ctr" rtl="0"/>
          <a:r>
            <a:rPr lang="pl-PL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chłopcy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379095</xdr:colOff>
      <xdr:row>0</xdr:row>
      <xdr:rowOff>230505</xdr:rowOff>
    </xdr:from>
    <xdr:to>
      <xdr:col>5</xdr:col>
      <xdr:colOff>1691541</xdr:colOff>
      <xdr:row>3</xdr:row>
      <xdr:rowOff>192405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381000" y="228600"/>
          <a:ext cx="2019300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l-P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I DZIEŃ</a:t>
          </a:r>
        </a:p>
        <a:p>
          <a:pPr algn="ctr" rtl="0"/>
          <a:r>
            <a:rPr lang="pl-P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CHŁOPCY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28575</xdr:rowOff>
    </xdr:from>
    <xdr:to>
      <xdr:col>5</xdr:col>
      <xdr:colOff>1908754</xdr:colOff>
      <xdr:row>7</xdr:row>
      <xdr:rowOff>200025</xdr:rowOff>
    </xdr:to>
    <xdr:sp macro="" textlink="">
      <xdr:nvSpPr>
        <xdr:cNvPr id="7169" name="WordArt 1"/>
        <xdr:cNvSpPr>
          <a:spLocks noChangeArrowheads="1" noChangeShapeType="1" noTextEdit="1"/>
        </xdr:cNvSpPr>
      </xdr:nvSpPr>
      <xdr:spPr bwMode="auto">
        <a:xfrm>
          <a:off x="4495800" y="276225"/>
          <a:ext cx="1762125" cy="1485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l-PL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Wyniki</a:t>
          </a:r>
        </a:p>
        <a:p>
          <a:pPr algn="ctr" rtl="0"/>
          <a:r>
            <a:rPr lang="pl-PL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końcowe</a:t>
          </a:r>
        </a:p>
        <a:p>
          <a:pPr algn="ctr" rtl="0"/>
          <a:r>
            <a:rPr lang="pl-PL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I dnia</a:t>
          </a:r>
        </a:p>
        <a:p>
          <a:pPr algn="ctr" rtl="0"/>
          <a:r>
            <a:rPr lang="pl-PL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chłopcy</a:t>
          </a:r>
        </a:p>
        <a:p>
          <a:pPr algn="ctr" rtl="0"/>
          <a:r>
            <a:rPr lang="pl-PL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(5 zawodników)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D11" sqref="D11"/>
    </sheetView>
  </sheetViews>
  <sheetFormatPr defaultRowHeight="12.75"/>
  <sheetData>
    <row r="1" spans="1:7">
      <c r="A1" s="136" t="s">
        <v>45</v>
      </c>
    </row>
    <row r="4" spans="1:7" ht="15">
      <c r="A4" s="137" t="s">
        <v>0</v>
      </c>
      <c r="B4" s="137" t="s">
        <v>1</v>
      </c>
      <c r="C4" s="138"/>
      <c r="D4" s="139" t="s">
        <v>2</v>
      </c>
      <c r="E4" s="137" t="s">
        <v>3</v>
      </c>
      <c r="F4" s="137" t="s">
        <v>5</v>
      </c>
      <c r="G4" s="140" t="s">
        <v>4</v>
      </c>
    </row>
    <row r="5" spans="1:7">
      <c r="A5" s="132">
        <v>210</v>
      </c>
      <c r="B5" s="132">
        <v>18</v>
      </c>
      <c r="C5" s="141" t="s">
        <v>46</v>
      </c>
      <c r="D5" s="133">
        <v>438.2</v>
      </c>
      <c r="E5" s="134">
        <v>11.6</v>
      </c>
      <c r="F5" s="132">
        <v>80</v>
      </c>
      <c r="G5" s="135">
        <v>1</v>
      </c>
    </row>
  </sheetData>
  <phoneticPr fontId="54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9"/>
  <dimension ref="A1:AA138"/>
  <sheetViews>
    <sheetView showGridLines="0" zoomScaleNormal="100" zoomScaleSheetLayoutView="100" workbookViewId="0">
      <selection activeCell="J26" sqref="J26"/>
    </sheetView>
  </sheetViews>
  <sheetFormatPr defaultRowHeight="12.75"/>
  <cols>
    <col min="1" max="1" width="10.7109375" customWidth="1"/>
    <col min="2" max="2" width="9.140625" hidden="1" customWidth="1"/>
    <col min="3" max="3" width="9.140625" style="18" hidden="1" customWidth="1"/>
    <col min="4" max="5" width="9.140625" hidden="1" customWidth="1"/>
    <col min="6" max="6" width="31.42578125" customWidth="1"/>
    <col min="7" max="7" width="11.42578125" style="44" bestFit="1" customWidth="1"/>
    <col min="8" max="8" width="12.5703125" style="71" bestFit="1" customWidth="1"/>
    <col min="9" max="9" width="3" style="3" hidden="1" customWidth="1"/>
    <col min="10" max="10" width="33.28515625" style="87" customWidth="1"/>
    <col min="11" max="11" width="0" hidden="1" customWidth="1"/>
    <col min="12" max="12" width="14.42578125" hidden="1" customWidth="1"/>
    <col min="13" max="14" width="0" hidden="1" customWidth="1"/>
    <col min="15" max="15" width="4.5703125" style="81" bestFit="1" customWidth="1"/>
    <col min="16" max="16" width="5" style="81" bestFit="1" customWidth="1"/>
    <col min="17" max="17" width="6.5703125" style="81" bestFit="1" customWidth="1"/>
    <col min="18" max="18" width="5.28515625" style="81" bestFit="1" customWidth="1"/>
    <col min="19" max="19" width="6.5703125" style="78" bestFit="1" customWidth="1"/>
    <col min="20" max="20" width="9.140625" style="9" customWidth="1"/>
  </cols>
  <sheetData>
    <row r="1" spans="2:27" ht="19.5" thickTop="1" thickBot="1">
      <c r="C1"/>
      <c r="G1" s="58" t="s">
        <v>15</v>
      </c>
      <c r="H1" s="67" t="s">
        <v>16</v>
      </c>
      <c r="I1" s="58"/>
      <c r="J1" s="89" t="s">
        <v>14</v>
      </c>
      <c r="K1" s="21"/>
      <c r="L1" s="21"/>
      <c r="M1" s="21"/>
      <c r="N1" s="21"/>
      <c r="U1" s="21"/>
      <c r="V1" s="21"/>
      <c r="W1" s="21"/>
      <c r="X1" s="21"/>
      <c r="Y1" s="21"/>
      <c r="Z1" s="21"/>
      <c r="AA1" s="21"/>
    </row>
    <row r="2" spans="2:27" ht="17.25" thickTop="1" thickBot="1">
      <c r="B2">
        <f>wyniki!O12</f>
        <v>892</v>
      </c>
      <c r="C2">
        <v>1.0000000000000001E-5</v>
      </c>
      <c r="D2">
        <f>B2+C2</f>
        <v>892.00000999999997</v>
      </c>
      <c r="E2" t="str">
        <f>wyniki!A7</f>
        <v>SP8 Siedlce</v>
      </c>
      <c r="G2" s="37">
        <v>1</v>
      </c>
      <c r="H2" s="69">
        <f>LARGE($D$2:$D$41,1)</f>
        <v>996.00003000000004</v>
      </c>
      <c r="I2" s="68">
        <f>MATCH(H2,$D$2:$D$41,0)</f>
        <v>3</v>
      </c>
      <c r="J2" s="90" t="str">
        <f>INDEX($D$2:$E$41,I2,2)</f>
        <v>SP4 Pruszków</v>
      </c>
      <c r="K2" s="21"/>
      <c r="L2" s="21">
        <v>0</v>
      </c>
      <c r="M2" s="21">
        <f>MATCH(L2,wyniki!$A:$A,0)+1</f>
        <v>99</v>
      </c>
      <c r="N2" s="21">
        <v>22</v>
      </c>
      <c r="O2" s="121"/>
      <c r="P2" s="121"/>
      <c r="Q2" s="121"/>
      <c r="R2" s="121"/>
      <c r="S2" s="120"/>
      <c r="U2" s="21"/>
      <c r="V2" s="21"/>
      <c r="W2" s="21"/>
      <c r="X2" s="21"/>
      <c r="Y2" s="21"/>
      <c r="Z2" s="21"/>
      <c r="AA2" s="21"/>
    </row>
    <row r="3" spans="2:27" ht="17.25" thickTop="1" thickBot="1">
      <c r="B3">
        <f>wyniki!O19</f>
        <v>686</v>
      </c>
      <c r="C3">
        <v>2.0000000000000002E-5</v>
      </c>
      <c r="D3">
        <f t="shared" ref="D3:D41" si="0">B3+C3</f>
        <v>686.00001999999995</v>
      </c>
      <c r="E3" t="str">
        <f>wyniki!A14</f>
        <v>PSP24 Radom</v>
      </c>
      <c r="G3" s="37">
        <v>2</v>
      </c>
      <c r="H3" s="69">
        <f>LARGE($D$2:$D$41,2)</f>
        <v>974.00008000000003</v>
      </c>
      <c r="I3" s="68">
        <f t="shared" ref="I3:I41" si="1">MATCH(H3,$D$2:$D$41,0)</f>
        <v>8</v>
      </c>
      <c r="J3" s="90" t="str">
        <f t="shared" ref="J3:J41" si="2">INDEX($D$2:$E$41,I3,2)</f>
        <v>SP Zielonki Parcela</v>
      </c>
      <c r="K3" s="21"/>
      <c r="L3" s="21">
        <v>0</v>
      </c>
      <c r="M3" s="21">
        <f>MATCH(L3,wyniki!$A:$A,0)+1</f>
        <v>99</v>
      </c>
      <c r="N3" s="21">
        <v>22</v>
      </c>
      <c r="O3" s="121"/>
      <c r="P3" s="121"/>
      <c r="Q3" s="121"/>
      <c r="R3" s="121"/>
      <c r="S3" s="120"/>
      <c r="U3" s="21"/>
      <c r="V3" s="21"/>
      <c r="W3" s="21"/>
      <c r="X3" s="21"/>
      <c r="Y3" s="21"/>
      <c r="Z3" s="21"/>
      <c r="AA3" s="21"/>
    </row>
    <row r="4" spans="2:27" ht="17.25" thickTop="1" thickBot="1">
      <c r="B4">
        <f>wyniki!O26</f>
        <v>996</v>
      </c>
      <c r="C4">
        <v>3.0000000000000001E-5</v>
      </c>
      <c r="D4">
        <f t="shared" si="0"/>
        <v>996.00003000000004</v>
      </c>
      <c r="E4" t="str">
        <f>wyniki!A21</f>
        <v>SP4 Pruszków</v>
      </c>
      <c r="G4" s="37">
        <v>3</v>
      </c>
      <c r="H4" s="69">
        <f>LARGE($D$2:$D$41,3)</f>
        <v>968.00009</v>
      </c>
      <c r="I4" s="68">
        <f t="shared" si="1"/>
        <v>9</v>
      </c>
      <c r="J4" s="90" t="str">
        <f t="shared" si="2"/>
        <v>SP154 Warszawa</v>
      </c>
      <c r="K4" s="21"/>
      <c r="L4" s="21">
        <v>0</v>
      </c>
      <c r="M4" s="21">
        <f>MATCH(L4,wyniki!$A:$A,0)+1</f>
        <v>99</v>
      </c>
      <c r="N4" s="21">
        <v>22</v>
      </c>
      <c r="O4" s="121"/>
      <c r="P4" s="121"/>
      <c r="Q4" s="121"/>
      <c r="R4" s="121"/>
      <c r="S4" s="120"/>
      <c r="U4" s="21"/>
      <c r="V4" s="21"/>
      <c r="W4" s="21"/>
      <c r="X4" s="21"/>
      <c r="Y4" s="21"/>
      <c r="Z4" s="21"/>
      <c r="AA4" s="21"/>
    </row>
    <row r="5" spans="2:27" ht="17.25" thickTop="1" thickBot="1">
      <c r="B5">
        <f>wyniki!O33</f>
        <v>797</v>
      </c>
      <c r="C5">
        <v>4.0000000000000003E-5</v>
      </c>
      <c r="D5">
        <f t="shared" si="0"/>
        <v>797.00004000000001</v>
      </c>
      <c r="E5" t="str">
        <f>wyniki!A28</f>
        <v>SP2 Szydłowiec</v>
      </c>
      <c r="G5" s="37">
        <v>4</v>
      </c>
      <c r="H5" s="69">
        <f>LARGE($D$2:$D$41,4)</f>
        <v>925.00004999999999</v>
      </c>
      <c r="I5" s="68">
        <f t="shared" si="1"/>
        <v>5</v>
      </c>
      <c r="J5" s="90" t="str">
        <f t="shared" si="2"/>
        <v>SP9 Siedlce</v>
      </c>
      <c r="K5" s="21"/>
      <c r="L5" s="21">
        <v>0</v>
      </c>
      <c r="M5" s="21">
        <f>MATCH(L5,wyniki!$A:$A,0)+1</f>
        <v>99</v>
      </c>
      <c r="N5" s="21">
        <v>22</v>
      </c>
      <c r="O5" s="121"/>
      <c r="P5" s="121"/>
      <c r="Q5" s="121"/>
      <c r="R5" s="121"/>
      <c r="S5" s="120"/>
      <c r="U5" s="21"/>
      <c r="V5" s="21"/>
      <c r="W5" s="21"/>
      <c r="X5" s="21"/>
      <c r="Y5" s="21"/>
      <c r="Z5" s="21"/>
      <c r="AA5" s="21"/>
    </row>
    <row r="6" spans="2:27" ht="17.25" thickTop="1" thickBot="1">
      <c r="B6">
        <f>wyniki!O40</f>
        <v>925</v>
      </c>
      <c r="C6">
        <v>5.0000000000000002E-5</v>
      </c>
      <c r="D6">
        <f t="shared" si="0"/>
        <v>925.00004999999999</v>
      </c>
      <c r="E6" t="str">
        <f>wyniki!A35</f>
        <v>SP9 Siedlce</v>
      </c>
      <c r="G6" s="37">
        <v>5</v>
      </c>
      <c r="H6" s="69">
        <f>LARGE($D$2:$D$41,5)</f>
        <v>911.00007000000005</v>
      </c>
      <c r="I6" s="68">
        <f t="shared" si="1"/>
        <v>7</v>
      </c>
      <c r="J6" s="90" t="str">
        <f t="shared" si="2"/>
        <v>SP204 Warszawa</v>
      </c>
      <c r="K6" s="21"/>
      <c r="L6" s="21">
        <v>0</v>
      </c>
      <c r="M6" s="21">
        <f>MATCH(L6,wyniki!$A:$A,0)+1</f>
        <v>99</v>
      </c>
      <c r="N6" s="21">
        <v>22</v>
      </c>
      <c r="O6" s="121"/>
      <c r="P6" s="121"/>
      <c r="Q6" s="121"/>
      <c r="R6" s="121"/>
      <c r="S6" s="120"/>
      <c r="U6" s="21"/>
      <c r="V6" s="21"/>
      <c r="W6" s="21"/>
      <c r="X6" s="21"/>
      <c r="Y6" s="21"/>
      <c r="Z6" s="21"/>
      <c r="AA6" s="21"/>
    </row>
    <row r="7" spans="2:27" ht="17.25" thickTop="1" thickBot="1">
      <c r="B7">
        <f>wyniki!O47</f>
        <v>789</v>
      </c>
      <c r="C7">
        <v>6.0000000000000002E-5</v>
      </c>
      <c r="D7">
        <f t="shared" si="0"/>
        <v>789.00005999999996</v>
      </c>
      <c r="E7" t="str">
        <f>wyniki!A42</f>
        <v>SP1 Ostrów Maz</v>
      </c>
      <c r="G7" s="37">
        <v>6</v>
      </c>
      <c r="H7" s="69">
        <f>LARGE($D$2:$D$41,6)</f>
        <v>894.00010999999995</v>
      </c>
      <c r="I7" s="68">
        <f t="shared" si="1"/>
        <v>11</v>
      </c>
      <c r="J7" s="90" t="str">
        <f t="shared" si="2"/>
        <v>SP2 Zielonka</v>
      </c>
      <c r="K7" s="21"/>
      <c r="L7" s="21">
        <v>0</v>
      </c>
      <c r="M7" s="21">
        <f>MATCH(L7,wyniki!$A:$A,0)+1</f>
        <v>99</v>
      </c>
      <c r="N7" s="21">
        <v>22</v>
      </c>
      <c r="O7" s="121"/>
      <c r="P7" s="121"/>
      <c r="Q7" s="121"/>
      <c r="R7" s="121"/>
      <c r="S7" s="120"/>
      <c r="U7" s="21"/>
      <c r="V7" s="21"/>
      <c r="W7" s="21"/>
      <c r="X7" s="21"/>
      <c r="Y7" s="21"/>
      <c r="Z7" s="21"/>
      <c r="AA7" s="21"/>
    </row>
    <row r="8" spans="2:27" ht="17.25" thickTop="1" thickBot="1">
      <c r="B8">
        <f>wyniki!O54</f>
        <v>911</v>
      </c>
      <c r="C8">
        <v>6.9999999999999994E-5</v>
      </c>
      <c r="D8">
        <f t="shared" si="0"/>
        <v>911.00007000000005</v>
      </c>
      <c r="E8" t="str">
        <f>wyniki!A49</f>
        <v>SP204 Warszawa</v>
      </c>
      <c r="G8" s="37">
        <v>7</v>
      </c>
      <c r="H8" s="69">
        <f>LARGE($D$2:$D$41,7)</f>
        <v>892.00000999999997</v>
      </c>
      <c r="I8" s="68">
        <f t="shared" si="1"/>
        <v>1</v>
      </c>
      <c r="J8" s="90" t="str">
        <f t="shared" si="2"/>
        <v>SP8 Siedlce</v>
      </c>
      <c r="K8" s="21"/>
      <c r="L8" s="21">
        <v>0</v>
      </c>
      <c r="M8" s="21">
        <f>MATCH(L8,wyniki!$A:$A,0)+1</f>
        <v>99</v>
      </c>
      <c r="N8" s="21">
        <v>22</v>
      </c>
      <c r="O8" s="121"/>
      <c r="P8" s="121"/>
      <c r="Q8" s="121"/>
      <c r="R8" s="121"/>
      <c r="S8" s="120"/>
      <c r="U8" s="21"/>
      <c r="V8" s="21"/>
      <c r="W8" s="21"/>
      <c r="X8" s="21"/>
      <c r="Y8" s="21"/>
      <c r="Z8" s="21"/>
      <c r="AA8" s="21"/>
    </row>
    <row r="9" spans="2:27" ht="17.25" thickTop="1" thickBot="1">
      <c r="B9">
        <f>wyniki!O61</f>
        <v>974</v>
      </c>
      <c r="C9">
        <v>8.0000000000000007E-5</v>
      </c>
      <c r="D9">
        <f t="shared" si="0"/>
        <v>974.00008000000003</v>
      </c>
      <c r="E9" t="str">
        <f>wyniki!A56</f>
        <v>SP Zielonki Parcela</v>
      </c>
      <c r="G9" s="37">
        <v>8</v>
      </c>
      <c r="H9" s="69">
        <f>LARGE($D$2:$D$41,8)</f>
        <v>808.00009999999997</v>
      </c>
      <c r="I9" s="68">
        <f t="shared" si="1"/>
        <v>10</v>
      </c>
      <c r="J9" s="90" t="str">
        <f t="shared" si="2"/>
        <v xml:space="preserve">SP Jednorożec </v>
      </c>
      <c r="K9" s="21"/>
      <c r="L9" s="21">
        <v>0</v>
      </c>
      <c r="M9" s="21">
        <f>MATCH(L9,wyniki!$A:$A,0)+1</f>
        <v>99</v>
      </c>
      <c r="N9" s="21">
        <v>22</v>
      </c>
      <c r="O9" s="121"/>
      <c r="P9" s="121"/>
      <c r="Q9" s="121"/>
      <c r="R9" s="121"/>
      <c r="S9" s="120"/>
      <c r="U9" s="21"/>
      <c r="V9" s="21"/>
      <c r="W9" s="21"/>
      <c r="X9" s="21"/>
      <c r="Y9" s="21"/>
      <c r="Z9" s="21"/>
      <c r="AA9" s="21"/>
    </row>
    <row r="10" spans="2:27" ht="17.25" thickTop="1" thickBot="1">
      <c r="B10">
        <f>wyniki!O68</f>
        <v>968</v>
      </c>
      <c r="C10">
        <v>9.0000000000000006E-5</v>
      </c>
      <c r="D10">
        <f t="shared" si="0"/>
        <v>968.00009</v>
      </c>
      <c r="E10" t="str">
        <f>wyniki!A63</f>
        <v>SP154 Warszawa</v>
      </c>
      <c r="G10" s="37">
        <v>9</v>
      </c>
      <c r="H10" s="69">
        <f>LARGE($D$2:$D$41,9)</f>
        <v>804.00013000000001</v>
      </c>
      <c r="I10" s="68">
        <f t="shared" si="1"/>
        <v>13</v>
      </c>
      <c r="J10" s="90" t="str">
        <f t="shared" si="2"/>
        <v>SP18 Płock</v>
      </c>
      <c r="K10" s="21"/>
      <c r="L10" s="21">
        <v>0</v>
      </c>
      <c r="M10" s="21">
        <f>MATCH(L10,wyniki!$A:$A,0)+1</f>
        <v>99</v>
      </c>
      <c r="N10" s="21">
        <v>22</v>
      </c>
      <c r="O10" s="121"/>
      <c r="P10" s="121"/>
      <c r="Q10" s="121"/>
      <c r="R10" s="121"/>
      <c r="S10" s="120"/>
      <c r="U10" s="21"/>
      <c r="V10" s="21"/>
      <c r="W10" s="21"/>
      <c r="X10" s="21"/>
      <c r="Y10" s="21"/>
      <c r="Z10" s="21"/>
      <c r="AA10" s="21"/>
    </row>
    <row r="11" spans="2:27" ht="17.25" thickTop="1" thickBot="1">
      <c r="B11">
        <f>wyniki!O75</f>
        <v>808</v>
      </c>
      <c r="C11">
        <v>1E-4</v>
      </c>
      <c r="D11">
        <f t="shared" si="0"/>
        <v>808.00009999999997</v>
      </c>
      <c r="E11" t="str">
        <f>wyniki!A70</f>
        <v xml:space="preserve">SP Jednorożec </v>
      </c>
      <c r="G11" s="37">
        <v>10</v>
      </c>
      <c r="H11" s="69">
        <f>LARGE($D$2:$D$41,10)</f>
        <v>797.00004000000001</v>
      </c>
      <c r="I11" s="68">
        <f t="shared" si="1"/>
        <v>4</v>
      </c>
      <c r="J11" s="90" t="str">
        <f t="shared" si="2"/>
        <v>SP2 Szydłowiec</v>
      </c>
      <c r="K11" s="21"/>
      <c r="L11" s="21">
        <v>0</v>
      </c>
      <c r="M11" s="21">
        <f>MATCH(L11,wyniki!$A:$A,0)+1</f>
        <v>99</v>
      </c>
      <c r="N11" s="21">
        <v>22</v>
      </c>
      <c r="O11" s="121"/>
      <c r="P11" s="121"/>
      <c r="Q11" s="121"/>
      <c r="R11" s="121"/>
      <c r="S11" s="120"/>
      <c r="U11" s="21"/>
      <c r="V11" s="21"/>
      <c r="W11" s="21"/>
      <c r="X11" s="21"/>
      <c r="Y11" s="21"/>
      <c r="Z11" s="21"/>
      <c r="AA11" s="21"/>
    </row>
    <row r="12" spans="2:27" ht="17.25" thickTop="1" thickBot="1">
      <c r="B12">
        <f>wyniki!O82</f>
        <v>894</v>
      </c>
      <c r="C12">
        <v>1.1E-4</v>
      </c>
      <c r="D12">
        <f t="shared" si="0"/>
        <v>894.00010999999995</v>
      </c>
      <c r="E12" t="str">
        <f>wyniki!A77</f>
        <v>SP2 Zielonka</v>
      </c>
      <c r="G12" s="37">
        <v>11</v>
      </c>
      <c r="H12" s="69">
        <f>LARGE($D$2:$D$41,11)</f>
        <v>789.00005999999996</v>
      </c>
      <c r="I12" s="68">
        <f t="shared" si="1"/>
        <v>6</v>
      </c>
      <c r="J12" s="90" t="str">
        <f t="shared" si="2"/>
        <v>SP1 Ostrów Maz</v>
      </c>
      <c r="K12" s="21"/>
      <c r="L12" s="21">
        <v>0</v>
      </c>
      <c r="M12" s="21">
        <f>MATCH(L12,wyniki!$A:$A,0)+1</f>
        <v>99</v>
      </c>
      <c r="N12" s="21">
        <v>22</v>
      </c>
      <c r="O12" s="121"/>
      <c r="P12" s="121"/>
      <c r="Q12" s="121"/>
      <c r="R12" s="121"/>
      <c r="S12" s="120"/>
      <c r="U12" s="21"/>
      <c r="V12" s="21"/>
      <c r="W12" s="21"/>
      <c r="X12" s="21"/>
      <c r="Y12" s="21"/>
      <c r="Z12" s="21"/>
      <c r="AA12" s="21"/>
    </row>
    <row r="13" spans="2:27" ht="17.25" thickTop="1" thickBot="1">
      <c r="B13">
        <f>wyniki!O89</f>
        <v>651</v>
      </c>
      <c r="C13">
        <v>1.2E-4</v>
      </c>
      <c r="D13">
        <f t="shared" si="0"/>
        <v>651.00012000000004</v>
      </c>
      <c r="E13" t="str">
        <f>wyniki!A84</f>
        <v>SP2 Mława</v>
      </c>
      <c r="G13" s="37">
        <v>12</v>
      </c>
      <c r="H13" s="69">
        <f>LARGE($D$2:$D$41,12)</f>
        <v>686.00001999999995</v>
      </c>
      <c r="I13" s="68">
        <f t="shared" si="1"/>
        <v>2</v>
      </c>
      <c r="J13" s="90" t="str">
        <f t="shared" si="2"/>
        <v>PSP24 Radom</v>
      </c>
      <c r="K13" s="21"/>
      <c r="L13" s="21">
        <v>0</v>
      </c>
      <c r="M13" s="21">
        <f>MATCH(L13,wyniki!$A:$A,0)+1</f>
        <v>99</v>
      </c>
      <c r="N13" s="21">
        <v>22</v>
      </c>
      <c r="O13" s="121"/>
      <c r="P13" s="121"/>
      <c r="Q13" s="121"/>
      <c r="R13" s="121"/>
      <c r="S13" s="120"/>
      <c r="U13" s="21"/>
      <c r="V13" s="21"/>
      <c r="W13" s="21"/>
      <c r="X13" s="21"/>
      <c r="Y13" s="21"/>
      <c r="Z13" s="21"/>
      <c r="AA13" s="21"/>
    </row>
    <row r="14" spans="2:27" ht="17.25" thickTop="1" thickBot="1">
      <c r="B14">
        <f>wyniki!O96</f>
        <v>804</v>
      </c>
      <c r="C14">
        <v>1.2999999999999999E-4</v>
      </c>
      <c r="D14">
        <f t="shared" si="0"/>
        <v>804.00013000000001</v>
      </c>
      <c r="E14" t="str">
        <f>wyniki!A91</f>
        <v>SP18 Płock</v>
      </c>
      <c r="G14" s="37">
        <v>13</v>
      </c>
      <c r="H14" s="69">
        <f>LARGE($D$2:$D$41,13)</f>
        <v>651.00012000000004</v>
      </c>
      <c r="I14" s="68">
        <f t="shared" si="1"/>
        <v>12</v>
      </c>
      <c r="J14" s="90" t="str">
        <f t="shared" si="2"/>
        <v>SP2 Mława</v>
      </c>
      <c r="K14" s="21"/>
      <c r="L14" s="21">
        <v>0</v>
      </c>
      <c r="M14" s="21">
        <f>MATCH(L14,wyniki!$A:$A,0)+1</f>
        <v>99</v>
      </c>
      <c r="N14" s="21">
        <v>22</v>
      </c>
      <c r="O14" s="121"/>
      <c r="P14" s="121"/>
      <c r="Q14" s="121"/>
      <c r="R14" s="121"/>
      <c r="S14" s="120"/>
      <c r="U14" s="21"/>
      <c r="V14" s="21"/>
      <c r="W14" s="21"/>
      <c r="X14" s="21"/>
      <c r="Y14" s="21"/>
      <c r="Z14" s="21"/>
      <c r="AA14" s="21"/>
    </row>
    <row r="15" spans="2:27" ht="17.25" thickTop="1" thickBot="1">
      <c r="B15">
        <f>wyniki!O103</f>
        <v>0</v>
      </c>
      <c r="C15">
        <v>1.3999999999999999E-4</v>
      </c>
      <c r="D15">
        <f t="shared" si="0"/>
        <v>1.3999999999999999E-4</v>
      </c>
      <c r="E15">
        <f>wyniki!A98</f>
        <v>0</v>
      </c>
      <c r="G15" s="37">
        <v>14</v>
      </c>
      <c r="H15" s="69">
        <f>LARGE($D$2:$D$41,14)</f>
        <v>4.0000000000000002E-4</v>
      </c>
      <c r="I15" s="68">
        <f t="shared" si="1"/>
        <v>40</v>
      </c>
      <c r="J15" s="90">
        <f t="shared" si="2"/>
        <v>0</v>
      </c>
      <c r="K15" s="21"/>
      <c r="L15" s="21">
        <v>0</v>
      </c>
      <c r="M15" s="21">
        <f>MATCH(L15,wyniki!$A:$A,0)+1</f>
        <v>99</v>
      </c>
      <c r="N15" s="21">
        <v>22</v>
      </c>
      <c r="O15" s="121"/>
      <c r="P15" s="121"/>
      <c r="Q15" s="121"/>
      <c r="R15" s="121"/>
      <c r="S15" s="120"/>
      <c r="U15" s="21"/>
      <c r="V15" s="21"/>
      <c r="W15" s="21"/>
      <c r="X15" s="21"/>
      <c r="Y15" s="21"/>
      <c r="Z15" s="21"/>
      <c r="AA15" s="21"/>
    </row>
    <row r="16" spans="2:27" ht="17.25" thickTop="1" thickBot="1">
      <c r="B16">
        <f>wyniki!O110</f>
        <v>0</v>
      </c>
      <c r="C16">
        <v>1.4999999999999999E-4</v>
      </c>
      <c r="D16">
        <f t="shared" si="0"/>
        <v>1.4999999999999999E-4</v>
      </c>
      <c r="E16">
        <f>wyniki!A105</f>
        <v>0</v>
      </c>
      <c r="G16" s="37">
        <v>15</v>
      </c>
      <c r="H16" s="69">
        <f>LARGE($D$2:$D$41,15)</f>
        <v>3.8999999999999999E-4</v>
      </c>
      <c r="I16" s="68">
        <f t="shared" si="1"/>
        <v>39</v>
      </c>
      <c r="J16" s="90">
        <f t="shared" si="2"/>
        <v>0</v>
      </c>
      <c r="K16" s="21"/>
      <c r="L16" s="21">
        <v>0</v>
      </c>
      <c r="M16" s="21">
        <f>MATCH(L16,wyniki!$A:$A,0)+1</f>
        <v>99</v>
      </c>
      <c r="N16" s="21">
        <v>22</v>
      </c>
      <c r="O16" s="121"/>
      <c r="P16" s="121"/>
      <c r="Q16" s="121"/>
      <c r="R16" s="121"/>
      <c r="S16" s="120"/>
      <c r="U16" s="21"/>
      <c r="V16" s="21"/>
      <c r="W16" s="21"/>
      <c r="X16" s="21"/>
      <c r="Y16" s="21"/>
      <c r="Z16" s="21"/>
      <c r="AA16" s="21"/>
    </row>
    <row r="17" spans="2:27" ht="17.25" thickTop="1" thickBot="1">
      <c r="B17">
        <f>wyniki!O117</f>
        <v>0</v>
      </c>
      <c r="C17">
        <v>1.6000000000000001E-4</v>
      </c>
      <c r="D17">
        <f t="shared" si="0"/>
        <v>1.6000000000000001E-4</v>
      </c>
      <c r="E17">
        <f>wyniki!A112</f>
        <v>0</v>
      </c>
      <c r="G17" s="37">
        <v>16</v>
      </c>
      <c r="H17" s="69">
        <f>LARGE($D$2:$D$41,16)</f>
        <v>3.8000000000000002E-4</v>
      </c>
      <c r="I17" s="68">
        <f t="shared" si="1"/>
        <v>38</v>
      </c>
      <c r="J17" s="90">
        <f t="shared" si="2"/>
        <v>0</v>
      </c>
      <c r="K17" s="21"/>
      <c r="L17" s="21">
        <v>0</v>
      </c>
      <c r="M17" s="21">
        <f>MATCH(L17,wyniki!$A:$A,0)+1</f>
        <v>99</v>
      </c>
      <c r="N17" s="21">
        <v>22</v>
      </c>
      <c r="O17" s="121"/>
      <c r="P17" s="121"/>
      <c r="Q17" s="121"/>
      <c r="R17" s="121"/>
      <c r="S17" s="120"/>
      <c r="U17" s="21"/>
      <c r="V17" s="21"/>
      <c r="W17" s="21"/>
      <c r="X17" s="21"/>
      <c r="Y17" s="21"/>
      <c r="Z17" s="21"/>
      <c r="AA17" s="21"/>
    </row>
    <row r="18" spans="2:27" ht="17.25" thickTop="1" thickBot="1">
      <c r="B18">
        <f>wyniki!O124</f>
        <v>0</v>
      </c>
      <c r="C18">
        <v>1.7000000000000001E-4</v>
      </c>
      <c r="D18">
        <f t="shared" si="0"/>
        <v>1.7000000000000001E-4</v>
      </c>
      <c r="E18">
        <f>wyniki!A119</f>
        <v>0</v>
      </c>
      <c r="G18" s="37">
        <v>17</v>
      </c>
      <c r="H18" s="69">
        <f>LARGE($D$2:$D$41,17)</f>
        <v>3.6999999999999999E-4</v>
      </c>
      <c r="I18" s="68">
        <f t="shared" si="1"/>
        <v>37</v>
      </c>
      <c r="J18" s="90">
        <f t="shared" si="2"/>
        <v>0</v>
      </c>
      <c r="K18" s="21"/>
      <c r="L18" s="21">
        <v>0</v>
      </c>
      <c r="M18" s="21">
        <f>MATCH(L18,wyniki!$A:$A,0)+1</f>
        <v>99</v>
      </c>
      <c r="N18" s="21">
        <v>22</v>
      </c>
      <c r="O18" s="121"/>
      <c r="P18" s="121"/>
      <c r="Q18" s="121"/>
      <c r="R18" s="121"/>
      <c r="S18" s="120"/>
      <c r="U18" s="21"/>
      <c r="V18" s="21"/>
      <c r="W18" s="21"/>
      <c r="X18" s="21"/>
      <c r="Y18" s="21"/>
      <c r="Z18" s="21"/>
      <c r="AA18" s="21"/>
    </row>
    <row r="19" spans="2:27" ht="17.25" thickTop="1" thickBot="1">
      <c r="B19">
        <f>wyniki!O131</f>
        <v>0</v>
      </c>
      <c r="C19">
        <v>1.8000000000000001E-4</v>
      </c>
      <c r="D19">
        <f t="shared" si="0"/>
        <v>1.8000000000000001E-4</v>
      </c>
      <c r="E19">
        <f>wyniki!A126</f>
        <v>0</v>
      </c>
      <c r="G19" s="37">
        <v>18</v>
      </c>
      <c r="H19" s="69">
        <f>LARGE($D$2:$D$41,18)</f>
        <v>3.6000000000000002E-4</v>
      </c>
      <c r="I19" s="68">
        <f t="shared" si="1"/>
        <v>36</v>
      </c>
      <c r="J19" s="90">
        <f t="shared" si="2"/>
        <v>0</v>
      </c>
      <c r="K19" s="21"/>
      <c r="L19" s="21">
        <v>0</v>
      </c>
      <c r="M19" s="21">
        <f>MATCH(L19,wyniki!$A:$A,0)+1</f>
        <v>99</v>
      </c>
      <c r="N19" s="21">
        <v>22</v>
      </c>
      <c r="O19" s="121"/>
      <c r="P19" s="121"/>
      <c r="Q19" s="121"/>
      <c r="R19" s="121"/>
      <c r="S19" s="120"/>
      <c r="U19" s="21"/>
      <c r="V19" s="21"/>
      <c r="W19" s="21"/>
      <c r="X19" s="21"/>
      <c r="Y19" s="21"/>
      <c r="Z19" s="21"/>
      <c r="AA19" s="21"/>
    </row>
    <row r="20" spans="2:27" ht="17.25" thickTop="1" thickBot="1">
      <c r="B20">
        <f>wyniki!O138</f>
        <v>0</v>
      </c>
      <c r="C20">
        <v>1.9000000000000001E-4</v>
      </c>
      <c r="D20">
        <f t="shared" si="0"/>
        <v>1.9000000000000001E-4</v>
      </c>
      <c r="E20">
        <f>wyniki!A133</f>
        <v>0</v>
      </c>
      <c r="G20" s="37">
        <v>19</v>
      </c>
      <c r="H20" s="69">
        <f>LARGE($D$2:$D$41,19)</f>
        <v>3.5E-4</v>
      </c>
      <c r="I20" s="68">
        <f t="shared" si="1"/>
        <v>35</v>
      </c>
      <c r="J20" s="90">
        <f t="shared" si="2"/>
        <v>0</v>
      </c>
      <c r="K20" s="21"/>
      <c r="L20" s="21">
        <v>0</v>
      </c>
      <c r="M20" s="21">
        <f>MATCH(L20,wyniki!$A:$A,0)+1</f>
        <v>99</v>
      </c>
      <c r="N20" s="21">
        <v>22</v>
      </c>
      <c r="O20" s="121"/>
      <c r="P20" s="121"/>
      <c r="Q20" s="121"/>
      <c r="R20" s="121"/>
      <c r="S20" s="120"/>
      <c r="U20" s="21"/>
      <c r="V20" s="21"/>
      <c r="W20" s="21"/>
      <c r="X20" s="21"/>
      <c r="Y20" s="21"/>
      <c r="Z20" s="21"/>
      <c r="AA20" s="21"/>
    </row>
    <row r="21" spans="2:27" ht="17.25" thickTop="1" thickBot="1">
      <c r="B21">
        <f>wyniki!O145</f>
        <v>0</v>
      </c>
      <c r="C21">
        <v>2.0000000000000001E-4</v>
      </c>
      <c r="D21">
        <f t="shared" si="0"/>
        <v>2.0000000000000001E-4</v>
      </c>
      <c r="E21">
        <f>wyniki!A140</f>
        <v>0</v>
      </c>
      <c r="G21" s="37">
        <v>20</v>
      </c>
      <c r="H21" s="69">
        <f>LARGE($D$2:$D$41,20)</f>
        <v>3.4000000000000002E-4</v>
      </c>
      <c r="I21" s="68">
        <f t="shared" si="1"/>
        <v>34</v>
      </c>
      <c r="J21" s="90">
        <f t="shared" si="2"/>
        <v>0</v>
      </c>
      <c r="K21" s="21"/>
      <c r="L21" s="21">
        <v>0</v>
      </c>
      <c r="M21" s="21">
        <f>MATCH(L21,wyniki!$A:$A,0)+1</f>
        <v>99</v>
      </c>
      <c r="N21" s="21">
        <v>22</v>
      </c>
      <c r="O21" s="121"/>
      <c r="P21" s="121"/>
      <c r="Q21" s="121"/>
      <c r="R21" s="121"/>
      <c r="S21" s="120"/>
      <c r="U21" s="21"/>
      <c r="V21" s="21"/>
      <c r="W21" s="21"/>
      <c r="X21" s="21"/>
      <c r="Y21" s="21"/>
      <c r="Z21" s="21"/>
      <c r="AA21" s="21"/>
    </row>
    <row r="22" spans="2:27" ht="17.25" thickTop="1" thickBot="1">
      <c r="B22">
        <f>wyniki!O152</f>
        <v>0</v>
      </c>
      <c r="C22">
        <v>2.1000000000000001E-4</v>
      </c>
      <c r="D22">
        <f t="shared" si="0"/>
        <v>2.1000000000000001E-4</v>
      </c>
      <c r="E22">
        <f>wyniki!A147</f>
        <v>0</v>
      </c>
      <c r="G22" s="37">
        <v>21</v>
      </c>
      <c r="H22" s="69">
        <f>LARGE($D$2:$D$41,21)</f>
        <v>3.3E-4</v>
      </c>
      <c r="I22" s="68">
        <f t="shared" si="1"/>
        <v>33</v>
      </c>
      <c r="J22" s="90">
        <f t="shared" si="2"/>
        <v>0</v>
      </c>
      <c r="K22" s="21"/>
      <c r="L22" s="21">
        <v>0</v>
      </c>
      <c r="M22" s="21">
        <f>MATCH(L22,wyniki!$A:$A,0)+1</f>
        <v>99</v>
      </c>
      <c r="N22" s="21">
        <v>22</v>
      </c>
      <c r="O22" s="121"/>
      <c r="P22" s="121"/>
      <c r="Q22" s="121"/>
      <c r="R22" s="121"/>
      <c r="S22" s="120"/>
      <c r="U22" s="21"/>
      <c r="V22" s="21"/>
      <c r="W22" s="21"/>
      <c r="X22" s="21"/>
      <c r="Y22" s="21"/>
      <c r="Z22" s="21"/>
      <c r="AA22" s="21"/>
    </row>
    <row r="23" spans="2:27" ht="17.25" thickTop="1" thickBot="1">
      <c r="B23">
        <f>wyniki!O159</f>
        <v>0</v>
      </c>
      <c r="C23">
        <v>2.2000000000000001E-4</v>
      </c>
      <c r="D23">
        <f t="shared" si="0"/>
        <v>2.2000000000000001E-4</v>
      </c>
      <c r="E23">
        <f>wyniki!A154</f>
        <v>0</v>
      </c>
      <c r="G23" s="37">
        <v>22</v>
      </c>
      <c r="H23" s="69">
        <f>LARGE($D$2:$D$41,22)</f>
        <v>3.2000000000000003E-4</v>
      </c>
      <c r="I23" s="68">
        <f t="shared" si="1"/>
        <v>32</v>
      </c>
      <c r="J23" s="90">
        <f t="shared" si="2"/>
        <v>0</v>
      </c>
      <c r="K23" s="21"/>
      <c r="L23" s="21">
        <v>0</v>
      </c>
      <c r="M23" s="21">
        <f>MATCH(L23,wyniki!$A:$A,0)+1</f>
        <v>99</v>
      </c>
      <c r="N23" s="21">
        <v>22</v>
      </c>
      <c r="O23" s="121"/>
      <c r="P23" s="121"/>
      <c r="Q23" s="121"/>
      <c r="R23" s="121"/>
      <c r="S23" s="120"/>
      <c r="U23" s="21"/>
      <c r="V23" s="21"/>
      <c r="W23" s="21"/>
      <c r="X23" s="21"/>
      <c r="Y23" s="21"/>
      <c r="Z23" s="21"/>
      <c r="AA23" s="21"/>
    </row>
    <row r="24" spans="2:27" ht="17.25" thickTop="1" thickBot="1">
      <c r="B24">
        <f>wyniki!O166</f>
        <v>0</v>
      </c>
      <c r="C24">
        <v>2.3000000000000001E-4</v>
      </c>
      <c r="D24">
        <f t="shared" si="0"/>
        <v>2.3000000000000001E-4</v>
      </c>
      <c r="E24">
        <f>wyniki!A161</f>
        <v>0</v>
      </c>
      <c r="G24" s="37">
        <v>23</v>
      </c>
      <c r="H24" s="69">
        <f>LARGE($D$2:$D$41,23)</f>
        <v>3.1E-4</v>
      </c>
      <c r="I24" s="68">
        <f t="shared" si="1"/>
        <v>31</v>
      </c>
      <c r="J24" s="90">
        <f t="shared" si="2"/>
        <v>0</v>
      </c>
      <c r="K24" s="21"/>
      <c r="L24" s="21">
        <v>0</v>
      </c>
      <c r="M24" s="21">
        <f>MATCH(L24,wyniki!$A:$A,0)+1</f>
        <v>99</v>
      </c>
      <c r="N24" s="21">
        <v>22</v>
      </c>
      <c r="O24" s="121"/>
      <c r="P24" s="121"/>
      <c r="Q24" s="121"/>
      <c r="R24" s="121"/>
      <c r="S24" s="120"/>
      <c r="U24" s="21"/>
      <c r="V24" s="21"/>
      <c r="W24" s="21"/>
      <c r="X24" s="21"/>
      <c r="Y24" s="21"/>
      <c r="Z24" s="21"/>
      <c r="AA24" s="21"/>
    </row>
    <row r="25" spans="2:27" ht="17.25" thickTop="1" thickBot="1">
      <c r="B25">
        <f>wyniki!O173</f>
        <v>0</v>
      </c>
      <c r="C25">
        <v>2.4000000000000001E-4</v>
      </c>
      <c r="D25">
        <f t="shared" si="0"/>
        <v>2.4000000000000001E-4</v>
      </c>
      <c r="E25">
        <f>wyniki!A168</f>
        <v>0</v>
      </c>
      <c r="G25" s="37">
        <v>24</v>
      </c>
      <c r="H25" s="69">
        <f>LARGE($D$2:$D$41,24)</f>
        <v>2.9999999999999997E-4</v>
      </c>
      <c r="I25" s="68">
        <f t="shared" si="1"/>
        <v>30</v>
      </c>
      <c r="J25" s="90">
        <f t="shared" si="2"/>
        <v>0</v>
      </c>
      <c r="K25" s="21"/>
      <c r="L25" s="21">
        <v>0</v>
      </c>
      <c r="M25" s="21">
        <f>MATCH(L25,wyniki!$A:$A,0)+1</f>
        <v>99</v>
      </c>
      <c r="N25" s="21">
        <v>22</v>
      </c>
      <c r="O25" s="121"/>
      <c r="P25" s="121"/>
      <c r="Q25" s="121"/>
      <c r="R25" s="121"/>
      <c r="S25" s="120"/>
      <c r="U25" s="21"/>
      <c r="V25" s="21"/>
      <c r="W25" s="21"/>
      <c r="X25" s="21"/>
      <c r="Y25" s="21"/>
      <c r="Z25" s="21"/>
      <c r="AA25" s="21"/>
    </row>
    <row r="26" spans="2:27" ht="17.25" thickTop="1" thickBot="1">
      <c r="B26">
        <f>wyniki!O180</f>
        <v>0</v>
      </c>
      <c r="C26">
        <v>2.5000000000000001E-4</v>
      </c>
      <c r="D26">
        <f t="shared" si="0"/>
        <v>2.5000000000000001E-4</v>
      </c>
      <c r="E26">
        <f>wyniki!A175</f>
        <v>0</v>
      </c>
      <c r="G26" s="37">
        <v>25</v>
      </c>
      <c r="H26" s="69">
        <f>LARGE($D$2:$D$41,25)</f>
        <v>2.9E-4</v>
      </c>
      <c r="I26" s="68">
        <f t="shared" si="1"/>
        <v>29</v>
      </c>
      <c r="J26" s="90">
        <f t="shared" si="2"/>
        <v>0</v>
      </c>
      <c r="K26" s="21"/>
      <c r="L26" s="21">
        <v>0</v>
      </c>
      <c r="M26" s="21">
        <f>MATCH(L26,wyniki!$A:$A,0)+1</f>
        <v>99</v>
      </c>
      <c r="N26" s="21">
        <v>22</v>
      </c>
      <c r="O26" s="121"/>
      <c r="P26" s="121"/>
      <c r="Q26" s="121"/>
      <c r="R26" s="121"/>
      <c r="S26" s="120"/>
      <c r="U26" s="21"/>
      <c r="V26" s="21"/>
      <c r="W26" s="21"/>
      <c r="X26" s="21"/>
      <c r="Y26" s="21"/>
      <c r="Z26" s="21"/>
      <c r="AA26" s="21"/>
    </row>
    <row r="27" spans="2:27" ht="17.25" thickTop="1" thickBot="1">
      <c r="B27">
        <f>wyniki!O187</f>
        <v>0</v>
      </c>
      <c r="C27">
        <v>2.5999999999999998E-4</v>
      </c>
      <c r="D27">
        <f t="shared" si="0"/>
        <v>2.5999999999999998E-4</v>
      </c>
      <c r="E27">
        <f>wyniki!A182</f>
        <v>0</v>
      </c>
      <c r="G27" s="37">
        <v>26</v>
      </c>
      <c r="H27" s="69">
        <f>LARGE($D$2:$D$41,26)</f>
        <v>2.7999999999999998E-4</v>
      </c>
      <c r="I27" s="68">
        <f t="shared" si="1"/>
        <v>28</v>
      </c>
      <c r="J27" s="90">
        <f t="shared" si="2"/>
        <v>0</v>
      </c>
      <c r="K27" s="21"/>
      <c r="L27" s="21">
        <v>0</v>
      </c>
      <c r="M27" s="21">
        <f>MATCH(L27,wyniki!$A:$A,0)+1</f>
        <v>99</v>
      </c>
      <c r="N27" s="21">
        <v>22</v>
      </c>
      <c r="O27" s="121"/>
      <c r="P27" s="121"/>
      <c r="Q27" s="121"/>
      <c r="R27" s="121"/>
      <c r="S27" s="120"/>
      <c r="U27" s="21"/>
      <c r="V27" s="21"/>
      <c r="W27" s="21"/>
      <c r="X27" s="21"/>
      <c r="Y27" s="21"/>
      <c r="Z27" s="21"/>
      <c r="AA27" s="21"/>
    </row>
    <row r="28" spans="2:27" ht="17.25" thickTop="1" thickBot="1">
      <c r="B28">
        <f>wyniki!O194</f>
        <v>0</v>
      </c>
      <c r="C28">
        <v>2.7E-4</v>
      </c>
      <c r="D28">
        <f t="shared" si="0"/>
        <v>2.7E-4</v>
      </c>
      <c r="E28">
        <f>wyniki!A189</f>
        <v>0</v>
      </c>
      <c r="G28" s="37">
        <v>27</v>
      </c>
      <c r="H28" s="69">
        <f>LARGE($D$2:$D$41,27)</f>
        <v>2.7E-4</v>
      </c>
      <c r="I28" s="68">
        <f t="shared" si="1"/>
        <v>27</v>
      </c>
      <c r="J28" s="90">
        <f t="shared" si="2"/>
        <v>0</v>
      </c>
      <c r="K28" s="21"/>
      <c r="L28" s="21">
        <v>0</v>
      </c>
      <c r="M28" s="21">
        <f>MATCH(L28,wyniki!$A:$A,0)+1</f>
        <v>99</v>
      </c>
      <c r="N28" s="21">
        <v>22</v>
      </c>
      <c r="O28" s="121"/>
      <c r="P28" s="121"/>
      <c r="Q28" s="121"/>
      <c r="R28" s="121"/>
      <c r="S28" s="120"/>
      <c r="U28" s="21"/>
      <c r="V28" s="21"/>
      <c r="W28" s="21"/>
      <c r="X28" s="21"/>
      <c r="Y28" s="21"/>
      <c r="Z28" s="21"/>
      <c r="AA28" s="21"/>
    </row>
    <row r="29" spans="2:27" ht="17.25" thickTop="1" thickBot="1">
      <c r="B29">
        <f>wyniki!O201</f>
        <v>0</v>
      </c>
      <c r="C29">
        <v>2.7999999999999998E-4</v>
      </c>
      <c r="D29">
        <f t="shared" si="0"/>
        <v>2.7999999999999998E-4</v>
      </c>
      <c r="E29">
        <f>wyniki!A196</f>
        <v>0</v>
      </c>
      <c r="G29" s="37">
        <v>28</v>
      </c>
      <c r="H29" s="69">
        <f>LARGE($D$2:$D$41,28)</f>
        <v>2.5999999999999998E-4</v>
      </c>
      <c r="I29" s="68">
        <f t="shared" si="1"/>
        <v>26</v>
      </c>
      <c r="J29" s="90">
        <f t="shared" si="2"/>
        <v>0</v>
      </c>
      <c r="K29" s="21"/>
      <c r="L29" s="21">
        <v>0</v>
      </c>
      <c r="M29" s="21">
        <f>MATCH(L29,wyniki!$A:$A,0)+1</f>
        <v>99</v>
      </c>
      <c r="N29" s="21">
        <v>22</v>
      </c>
      <c r="O29" s="121"/>
      <c r="P29" s="121"/>
      <c r="Q29" s="121"/>
      <c r="R29" s="121"/>
      <c r="S29" s="120"/>
      <c r="U29" s="21"/>
      <c r="V29" s="21"/>
      <c r="W29" s="21"/>
      <c r="X29" s="21"/>
      <c r="Y29" s="21"/>
      <c r="Z29" s="21"/>
      <c r="AA29" s="21"/>
    </row>
    <row r="30" spans="2:27" ht="17.25" thickTop="1" thickBot="1">
      <c r="B30">
        <f>wyniki!O208</f>
        <v>0</v>
      </c>
      <c r="C30">
        <v>2.9E-4</v>
      </c>
      <c r="D30">
        <f t="shared" si="0"/>
        <v>2.9E-4</v>
      </c>
      <c r="E30">
        <f>wyniki!A203</f>
        <v>0</v>
      </c>
      <c r="G30" s="37">
        <v>29</v>
      </c>
      <c r="H30" s="69">
        <f>LARGE($D$2:$D$41,29)</f>
        <v>2.5000000000000001E-4</v>
      </c>
      <c r="I30" s="68">
        <f t="shared" si="1"/>
        <v>25</v>
      </c>
      <c r="J30" s="90">
        <f t="shared" si="2"/>
        <v>0</v>
      </c>
      <c r="K30" s="21"/>
      <c r="L30" s="21">
        <v>0</v>
      </c>
      <c r="M30" s="21">
        <f>MATCH(L30,wyniki!$A:$A,0)+1</f>
        <v>99</v>
      </c>
      <c r="N30" s="21">
        <v>22</v>
      </c>
      <c r="O30" s="121"/>
      <c r="P30" s="121"/>
      <c r="Q30" s="121"/>
      <c r="R30" s="121"/>
      <c r="S30" s="120"/>
      <c r="U30" s="21"/>
      <c r="V30" s="21"/>
      <c r="W30" s="21"/>
      <c r="X30" s="21"/>
      <c r="Y30" s="21"/>
      <c r="Z30" s="21"/>
      <c r="AA30" s="21"/>
    </row>
    <row r="31" spans="2:27" ht="17.25" thickTop="1" thickBot="1">
      <c r="B31">
        <f>wyniki!O215</f>
        <v>0</v>
      </c>
      <c r="C31">
        <v>2.9999999999999997E-4</v>
      </c>
      <c r="D31">
        <f t="shared" si="0"/>
        <v>2.9999999999999997E-4</v>
      </c>
      <c r="E31">
        <f>wyniki!A210</f>
        <v>0</v>
      </c>
      <c r="G31" s="37">
        <v>30</v>
      </c>
      <c r="H31" s="69">
        <f>LARGE($D$2:$D$41,30)</f>
        <v>2.4000000000000001E-4</v>
      </c>
      <c r="I31" s="68">
        <f t="shared" si="1"/>
        <v>24</v>
      </c>
      <c r="J31" s="90">
        <f t="shared" si="2"/>
        <v>0</v>
      </c>
      <c r="K31" s="21"/>
      <c r="L31" s="21">
        <v>0</v>
      </c>
      <c r="M31" s="21">
        <f>MATCH(L31,wyniki!$A:$A,0)+1</f>
        <v>99</v>
      </c>
      <c r="N31" s="21">
        <v>22</v>
      </c>
      <c r="O31" s="121"/>
      <c r="P31" s="121"/>
      <c r="Q31" s="121"/>
      <c r="R31" s="121"/>
      <c r="S31" s="120"/>
      <c r="U31" s="21"/>
      <c r="V31" s="21"/>
      <c r="W31" s="21"/>
      <c r="X31" s="21"/>
      <c r="Y31" s="21"/>
      <c r="Z31" s="21"/>
      <c r="AA31" s="21"/>
    </row>
    <row r="32" spans="2:27" ht="17.25" thickTop="1" thickBot="1">
      <c r="B32">
        <f>wyniki!O222</f>
        <v>0</v>
      </c>
      <c r="C32">
        <v>3.1E-4</v>
      </c>
      <c r="D32">
        <f t="shared" si="0"/>
        <v>3.1E-4</v>
      </c>
      <c r="E32">
        <f>wyniki!A217</f>
        <v>0</v>
      </c>
      <c r="G32" s="37">
        <v>31</v>
      </c>
      <c r="H32" s="69">
        <f>LARGE($D$2:$D$41,31)</f>
        <v>2.3000000000000001E-4</v>
      </c>
      <c r="I32" s="68">
        <f t="shared" si="1"/>
        <v>23</v>
      </c>
      <c r="J32" s="90">
        <f t="shared" si="2"/>
        <v>0</v>
      </c>
      <c r="K32" s="21"/>
      <c r="L32" s="21">
        <v>0</v>
      </c>
      <c r="M32" s="21">
        <f>MATCH(L32,wyniki!$A:$A,0)+1</f>
        <v>99</v>
      </c>
      <c r="N32" s="21">
        <v>22</v>
      </c>
      <c r="O32" s="121"/>
      <c r="P32" s="121"/>
      <c r="Q32" s="121"/>
      <c r="R32" s="121"/>
      <c r="S32" s="120"/>
      <c r="U32" s="21"/>
      <c r="V32" s="21"/>
      <c r="W32" s="21"/>
      <c r="X32" s="21"/>
      <c r="Y32" s="21"/>
      <c r="Z32" s="21"/>
      <c r="AA32" s="21"/>
    </row>
    <row r="33" spans="1:27" ht="17.25" thickTop="1" thickBot="1">
      <c r="B33">
        <f>wyniki!O229</f>
        <v>0</v>
      </c>
      <c r="C33">
        <v>3.2000000000000003E-4</v>
      </c>
      <c r="D33">
        <f t="shared" si="0"/>
        <v>3.2000000000000003E-4</v>
      </c>
      <c r="E33">
        <f>wyniki!A224</f>
        <v>0</v>
      </c>
      <c r="G33" s="37">
        <v>32</v>
      </c>
      <c r="H33" s="69">
        <f>LARGE($D$2:$D$41,32)</f>
        <v>2.2000000000000001E-4</v>
      </c>
      <c r="I33" s="68">
        <f t="shared" si="1"/>
        <v>22</v>
      </c>
      <c r="J33" s="90">
        <f t="shared" si="2"/>
        <v>0</v>
      </c>
      <c r="K33" s="21"/>
      <c r="L33" s="21">
        <v>0</v>
      </c>
      <c r="M33" s="21">
        <f>MATCH(L33,wyniki!$A:$A,0)+1</f>
        <v>99</v>
      </c>
      <c r="N33" s="21">
        <v>22</v>
      </c>
      <c r="O33" s="121"/>
      <c r="P33" s="121"/>
      <c r="Q33" s="121"/>
      <c r="R33" s="121"/>
      <c r="S33" s="120"/>
      <c r="U33" s="21"/>
      <c r="V33" s="21"/>
      <c r="W33" s="21"/>
      <c r="X33" s="21"/>
      <c r="Y33" s="21"/>
      <c r="Z33" s="21"/>
      <c r="AA33" s="21"/>
    </row>
    <row r="34" spans="1:27" ht="17.25" thickTop="1" thickBot="1">
      <c r="B34">
        <f>wyniki!O236</f>
        <v>0</v>
      </c>
      <c r="C34">
        <v>3.3E-4</v>
      </c>
      <c r="D34">
        <f t="shared" si="0"/>
        <v>3.3E-4</v>
      </c>
      <c r="E34">
        <f>wyniki!A231</f>
        <v>0</v>
      </c>
      <c r="G34" s="37">
        <v>33</v>
      </c>
      <c r="H34" s="69">
        <f>LARGE($D$2:$D$41,33)</f>
        <v>2.1000000000000001E-4</v>
      </c>
      <c r="I34" s="68">
        <f t="shared" si="1"/>
        <v>21</v>
      </c>
      <c r="J34" s="90">
        <f t="shared" si="2"/>
        <v>0</v>
      </c>
      <c r="K34" s="21"/>
      <c r="L34" s="21">
        <v>0</v>
      </c>
      <c r="M34" s="21">
        <f>MATCH(L34,wyniki!$A:$A,0)+1</f>
        <v>99</v>
      </c>
      <c r="N34" s="21">
        <v>22</v>
      </c>
      <c r="O34" s="121"/>
      <c r="P34" s="121"/>
      <c r="Q34" s="121"/>
      <c r="R34" s="121"/>
      <c r="S34" s="120"/>
      <c r="U34" s="21"/>
      <c r="V34" s="21"/>
      <c r="W34" s="21"/>
      <c r="X34" s="21"/>
      <c r="Y34" s="21"/>
      <c r="Z34" s="21"/>
      <c r="AA34" s="21"/>
    </row>
    <row r="35" spans="1:27" ht="17.25" thickTop="1" thickBot="1">
      <c r="B35">
        <f>wyniki!O243</f>
        <v>0</v>
      </c>
      <c r="C35">
        <v>3.4000000000000002E-4</v>
      </c>
      <c r="D35">
        <f t="shared" si="0"/>
        <v>3.4000000000000002E-4</v>
      </c>
      <c r="E35">
        <f>wyniki!A238</f>
        <v>0</v>
      </c>
      <c r="G35" s="37">
        <v>34</v>
      </c>
      <c r="H35" s="69">
        <f>LARGE($D$2:$D$41,34)</f>
        <v>2.0000000000000001E-4</v>
      </c>
      <c r="I35" s="68">
        <f t="shared" si="1"/>
        <v>20</v>
      </c>
      <c r="J35" s="90">
        <f t="shared" si="2"/>
        <v>0</v>
      </c>
      <c r="K35" s="21"/>
      <c r="L35" s="21">
        <v>0</v>
      </c>
      <c r="M35" s="21">
        <f>MATCH(L35,wyniki!$A:$A,0)+1</f>
        <v>99</v>
      </c>
      <c r="N35" s="21">
        <v>22</v>
      </c>
      <c r="O35" s="121"/>
      <c r="P35" s="121"/>
      <c r="Q35" s="121"/>
      <c r="R35" s="121"/>
      <c r="S35" s="120"/>
      <c r="U35" s="21"/>
      <c r="V35" s="21"/>
      <c r="W35" s="21"/>
      <c r="X35" s="21"/>
      <c r="Y35" s="21"/>
      <c r="Z35" s="21"/>
      <c r="AA35" s="21"/>
    </row>
    <row r="36" spans="1:27" ht="17.25" thickTop="1" thickBot="1">
      <c r="B36">
        <f>wyniki!O250</f>
        <v>0</v>
      </c>
      <c r="C36">
        <v>3.5E-4</v>
      </c>
      <c r="D36">
        <f t="shared" si="0"/>
        <v>3.5E-4</v>
      </c>
      <c r="E36">
        <f>wyniki!A245</f>
        <v>0</v>
      </c>
      <c r="G36" s="37">
        <v>35</v>
      </c>
      <c r="H36" s="69">
        <f>LARGE($D$2:$D$41,35)</f>
        <v>1.9000000000000001E-4</v>
      </c>
      <c r="I36" s="68">
        <f t="shared" si="1"/>
        <v>19</v>
      </c>
      <c r="J36" s="90">
        <f t="shared" si="2"/>
        <v>0</v>
      </c>
      <c r="K36" s="21"/>
      <c r="L36" s="21">
        <v>0</v>
      </c>
      <c r="M36" s="21">
        <f>MATCH(L36,wyniki!$A:$A,0)+1</f>
        <v>99</v>
      </c>
      <c r="N36" s="21">
        <v>22</v>
      </c>
      <c r="O36" s="121"/>
      <c r="P36" s="121"/>
      <c r="Q36" s="121"/>
      <c r="R36" s="121"/>
      <c r="S36" s="120"/>
      <c r="U36" s="21"/>
      <c r="V36" s="21"/>
      <c r="W36" s="21"/>
      <c r="X36" s="21"/>
      <c r="Y36" s="21"/>
      <c r="Z36" s="21"/>
      <c r="AA36" s="21"/>
    </row>
    <row r="37" spans="1:27" ht="17.25" thickTop="1" thickBot="1">
      <c r="B37">
        <f>wyniki!O257</f>
        <v>0</v>
      </c>
      <c r="C37">
        <v>3.6000000000000002E-4</v>
      </c>
      <c r="D37">
        <f t="shared" si="0"/>
        <v>3.6000000000000002E-4</v>
      </c>
      <c r="E37">
        <f>wyniki!A252</f>
        <v>0</v>
      </c>
      <c r="G37" s="37">
        <v>36</v>
      </c>
      <c r="H37" s="69">
        <f>LARGE($D$2:$D$41,36)</f>
        <v>1.8000000000000001E-4</v>
      </c>
      <c r="I37" s="68">
        <f t="shared" si="1"/>
        <v>18</v>
      </c>
      <c r="J37" s="90">
        <f t="shared" si="2"/>
        <v>0</v>
      </c>
      <c r="K37" s="21"/>
      <c r="L37" s="21">
        <v>0</v>
      </c>
      <c r="M37" s="21">
        <f>MATCH(L37,wyniki!$A:$A,0)+1</f>
        <v>99</v>
      </c>
      <c r="N37" s="21">
        <v>22</v>
      </c>
      <c r="O37" s="121"/>
      <c r="P37" s="121"/>
      <c r="Q37" s="121"/>
      <c r="R37" s="121"/>
      <c r="S37" s="120"/>
      <c r="U37" s="21"/>
      <c r="V37" s="21"/>
      <c r="W37" s="21"/>
      <c r="X37" s="21"/>
      <c r="Y37" s="21"/>
      <c r="Z37" s="21"/>
      <c r="AA37" s="21"/>
    </row>
    <row r="38" spans="1:27" ht="17.25" thickTop="1" thickBot="1">
      <c r="B38">
        <f>wyniki!O264</f>
        <v>0</v>
      </c>
      <c r="C38">
        <v>3.6999999999999999E-4</v>
      </c>
      <c r="D38">
        <f t="shared" si="0"/>
        <v>3.6999999999999999E-4</v>
      </c>
      <c r="E38">
        <f>wyniki!A259</f>
        <v>0</v>
      </c>
      <c r="G38" s="37">
        <v>37</v>
      </c>
      <c r="H38" s="69">
        <f>LARGE($D$2:$D$41,37)</f>
        <v>1.7000000000000001E-4</v>
      </c>
      <c r="I38" s="68">
        <f t="shared" si="1"/>
        <v>17</v>
      </c>
      <c r="J38" s="90">
        <f t="shared" si="2"/>
        <v>0</v>
      </c>
      <c r="K38" s="21"/>
      <c r="L38" s="21">
        <v>0</v>
      </c>
      <c r="M38" s="21">
        <f>MATCH(L38,wyniki!$A:$A,0)+1</f>
        <v>99</v>
      </c>
      <c r="N38" s="21">
        <v>22</v>
      </c>
      <c r="O38" s="121"/>
      <c r="P38" s="121"/>
      <c r="Q38" s="121"/>
      <c r="R38" s="121"/>
      <c r="S38" s="120"/>
      <c r="U38" s="21"/>
      <c r="V38" s="21"/>
      <c r="W38" s="21"/>
      <c r="X38" s="21"/>
      <c r="Y38" s="21"/>
      <c r="Z38" s="21"/>
      <c r="AA38" s="21"/>
    </row>
    <row r="39" spans="1:27" ht="17.25" thickTop="1" thickBot="1">
      <c r="B39">
        <f>wyniki!O271</f>
        <v>0</v>
      </c>
      <c r="C39">
        <v>3.8000000000000002E-4</v>
      </c>
      <c r="D39">
        <f t="shared" si="0"/>
        <v>3.8000000000000002E-4</v>
      </c>
      <c r="E39">
        <f>wyniki!A266</f>
        <v>0</v>
      </c>
      <c r="G39" s="37">
        <v>38</v>
      </c>
      <c r="H39" s="69">
        <f>LARGE($D$2:$D$41,38)</f>
        <v>1.6000000000000001E-4</v>
      </c>
      <c r="I39" s="68">
        <f t="shared" si="1"/>
        <v>16</v>
      </c>
      <c r="J39" s="90">
        <f t="shared" si="2"/>
        <v>0</v>
      </c>
      <c r="K39" s="21"/>
      <c r="L39" s="21">
        <v>0</v>
      </c>
      <c r="M39" s="21">
        <f>MATCH(L39,wyniki!$A:$A,0)+1</f>
        <v>99</v>
      </c>
      <c r="N39" s="21">
        <v>22</v>
      </c>
      <c r="O39" s="121"/>
      <c r="P39" s="121"/>
      <c r="Q39" s="121"/>
      <c r="R39" s="121"/>
      <c r="S39" s="120"/>
      <c r="U39" s="21"/>
      <c r="V39" s="21"/>
      <c r="W39" s="21"/>
      <c r="X39" s="21"/>
      <c r="Y39" s="21"/>
      <c r="Z39" s="21"/>
      <c r="AA39" s="21"/>
    </row>
    <row r="40" spans="1:27" ht="17.25" thickTop="1" thickBot="1">
      <c r="B40">
        <f>wyniki!O278</f>
        <v>0</v>
      </c>
      <c r="C40">
        <v>3.8999999999999999E-4</v>
      </c>
      <c r="D40">
        <f t="shared" si="0"/>
        <v>3.8999999999999999E-4</v>
      </c>
      <c r="E40">
        <f>wyniki!A273</f>
        <v>0</v>
      </c>
      <c r="G40" s="37">
        <v>39</v>
      </c>
      <c r="H40" s="69">
        <f>LARGE($D$2:$D$41,39)</f>
        <v>1.4999999999999999E-4</v>
      </c>
      <c r="I40" s="68">
        <f t="shared" si="1"/>
        <v>15</v>
      </c>
      <c r="J40" s="90">
        <f t="shared" si="2"/>
        <v>0</v>
      </c>
      <c r="K40" s="21"/>
      <c r="L40" s="21" t="s">
        <v>42</v>
      </c>
      <c r="M40" s="21" t="e">
        <f>MATCH(L40,wyniki!$A:$A,0)+1</f>
        <v>#N/A</v>
      </c>
      <c r="N40" s="21">
        <v>15</v>
      </c>
      <c r="O40" s="121"/>
      <c r="P40" s="121"/>
      <c r="Q40" s="121"/>
      <c r="R40" s="121"/>
      <c r="S40" s="120"/>
      <c r="U40" s="21"/>
      <c r="V40" s="21"/>
      <c r="W40" s="21"/>
      <c r="X40" s="21"/>
      <c r="Y40" s="21"/>
      <c r="Z40" s="21"/>
      <c r="AA40" s="21"/>
    </row>
    <row r="41" spans="1:27" ht="17.25" thickTop="1" thickBot="1">
      <c r="B41">
        <f>wyniki!O285</f>
        <v>0</v>
      </c>
      <c r="C41">
        <v>4.0000000000000002E-4</v>
      </c>
      <c r="D41">
        <f t="shared" si="0"/>
        <v>4.0000000000000002E-4</v>
      </c>
      <c r="E41">
        <f>wyniki!A280</f>
        <v>0</v>
      </c>
      <c r="G41" s="37">
        <v>40</v>
      </c>
      <c r="H41" s="69">
        <f>LARGE($D$2:$D$41,40)</f>
        <v>1.3999999999999999E-4</v>
      </c>
      <c r="I41" s="68">
        <f t="shared" si="1"/>
        <v>14</v>
      </c>
      <c r="J41" s="90">
        <f t="shared" si="2"/>
        <v>0</v>
      </c>
      <c r="K41" s="21"/>
      <c r="L41" s="21" t="s">
        <v>41</v>
      </c>
      <c r="M41" s="21" t="e">
        <f>MATCH(L41,wyniki!$A:$A,0)+1</f>
        <v>#N/A</v>
      </c>
      <c r="N41" s="21">
        <v>8</v>
      </c>
      <c r="O41" s="121"/>
      <c r="P41" s="121"/>
      <c r="Q41" s="121"/>
      <c r="R41" s="121"/>
      <c r="S41" s="120"/>
      <c r="U41" s="21"/>
      <c r="V41" s="21"/>
      <c r="W41" s="21"/>
      <c r="X41" s="21"/>
      <c r="Y41" s="21"/>
      <c r="Z41" s="21"/>
      <c r="AA41" s="21"/>
    </row>
    <row r="42" spans="1:27" ht="13.5" thickTop="1">
      <c r="A42" s="21"/>
      <c r="B42" s="21"/>
      <c r="C42" s="21"/>
      <c r="D42" s="21"/>
      <c r="E42" s="21"/>
      <c r="F42" s="21"/>
      <c r="G42" s="74"/>
      <c r="H42" s="76"/>
      <c r="I42" s="21"/>
      <c r="J42" s="86"/>
      <c r="K42" s="21"/>
      <c r="L42" s="21"/>
      <c r="M42" s="21"/>
      <c r="N42" s="21"/>
      <c r="U42" s="21"/>
      <c r="V42" s="21"/>
      <c r="W42" s="21"/>
      <c r="X42" s="21"/>
      <c r="Y42" s="21"/>
      <c r="Z42" s="21"/>
      <c r="AA42" s="21"/>
    </row>
    <row r="43" spans="1:27">
      <c r="A43" s="21"/>
      <c r="B43" s="21"/>
      <c r="C43" s="21"/>
      <c r="D43" s="21"/>
      <c r="E43" s="21"/>
      <c r="F43" s="21"/>
      <c r="G43" s="74"/>
      <c r="H43" s="76"/>
      <c r="I43" s="21"/>
      <c r="J43" s="86"/>
      <c r="K43" s="21"/>
      <c r="L43" s="21"/>
      <c r="M43" s="21"/>
      <c r="N43" s="21"/>
      <c r="U43" s="21"/>
      <c r="V43" s="21"/>
      <c r="W43" s="21"/>
      <c r="X43" s="21"/>
      <c r="Y43" s="21"/>
      <c r="Z43" s="21"/>
      <c r="AA43" s="21"/>
    </row>
    <row r="44" spans="1:27">
      <c r="A44" s="21"/>
      <c r="B44" s="21"/>
      <c r="C44" s="21"/>
      <c r="D44" s="21"/>
      <c r="E44" s="21"/>
      <c r="F44" s="21"/>
      <c r="G44" s="74"/>
      <c r="H44" s="76"/>
      <c r="I44" s="21"/>
      <c r="J44" s="86"/>
      <c r="K44" s="21"/>
      <c r="L44" s="21"/>
      <c r="M44" s="21"/>
      <c r="N44" s="21"/>
      <c r="U44" s="21"/>
      <c r="V44" s="21"/>
      <c r="W44" s="21"/>
      <c r="X44" s="21"/>
      <c r="Y44" s="21"/>
      <c r="Z44" s="21"/>
      <c r="AA44" s="21"/>
    </row>
    <row r="45" spans="1:27">
      <c r="A45" s="21"/>
      <c r="B45" s="21"/>
      <c r="C45" s="21"/>
      <c r="D45" s="21"/>
      <c r="E45" s="21"/>
      <c r="F45" s="21"/>
      <c r="G45" s="74"/>
      <c r="H45" s="76"/>
      <c r="I45" s="21"/>
      <c r="J45" s="86"/>
      <c r="K45" s="21"/>
      <c r="L45" s="21"/>
      <c r="M45" s="21"/>
      <c r="N45" s="21"/>
      <c r="U45" s="21"/>
      <c r="V45" s="21"/>
      <c r="W45" s="21"/>
      <c r="X45" s="21"/>
      <c r="Y45" s="21"/>
      <c r="Z45" s="21"/>
      <c r="AA45" s="21"/>
    </row>
    <row r="46" spans="1:27">
      <c r="A46" s="21"/>
      <c r="B46" s="21"/>
      <c r="C46" s="21"/>
      <c r="D46" s="21"/>
      <c r="E46" s="21"/>
      <c r="F46" s="21"/>
      <c r="G46" s="74"/>
      <c r="H46" s="76"/>
      <c r="I46" s="21"/>
      <c r="J46" s="86"/>
      <c r="K46" s="21"/>
      <c r="L46" s="21"/>
      <c r="M46" s="21"/>
      <c r="N46" s="21"/>
      <c r="U46" s="21"/>
      <c r="V46" s="21"/>
      <c r="W46" s="21"/>
      <c r="X46" s="21"/>
      <c r="Y46" s="21"/>
      <c r="Z46" s="21"/>
      <c r="AA46" s="21"/>
    </row>
    <row r="47" spans="1:27">
      <c r="A47" s="21"/>
      <c r="B47" s="21"/>
      <c r="C47" s="21"/>
      <c r="D47" s="21"/>
      <c r="E47" s="21"/>
      <c r="F47" s="21"/>
      <c r="G47" s="74"/>
      <c r="H47" s="76"/>
      <c r="I47" s="21"/>
      <c r="J47" s="86"/>
      <c r="K47" s="21"/>
      <c r="L47" s="21"/>
      <c r="M47" s="21"/>
      <c r="N47" s="21"/>
      <c r="U47" s="21"/>
      <c r="V47" s="21"/>
      <c r="W47" s="21"/>
      <c r="X47" s="21"/>
      <c r="Y47" s="21"/>
      <c r="Z47" s="21"/>
      <c r="AA47" s="21"/>
    </row>
    <row r="48" spans="1:27">
      <c r="A48" s="21"/>
      <c r="B48" s="21"/>
      <c r="C48" s="21"/>
      <c r="D48" s="21"/>
      <c r="E48" s="21"/>
      <c r="F48" s="21"/>
      <c r="G48" s="74"/>
      <c r="H48" s="76"/>
      <c r="I48" s="21"/>
      <c r="J48" s="86"/>
      <c r="K48" s="21"/>
      <c r="L48" s="21"/>
      <c r="M48" s="21"/>
      <c r="N48" s="21"/>
      <c r="U48" s="21"/>
      <c r="V48" s="21"/>
      <c r="W48" s="21"/>
      <c r="X48" s="21"/>
      <c r="Y48" s="21"/>
      <c r="Z48" s="21"/>
      <c r="AA48" s="21"/>
    </row>
    <row r="49" spans="1:27">
      <c r="A49" s="21"/>
      <c r="B49" s="21"/>
      <c r="C49" s="21"/>
      <c r="D49" s="21"/>
      <c r="E49" s="21"/>
      <c r="F49" s="21"/>
      <c r="G49" s="74"/>
      <c r="H49" s="76"/>
      <c r="I49" s="21"/>
      <c r="J49" s="86"/>
      <c r="K49" s="21"/>
      <c r="L49" s="21"/>
      <c r="M49" s="21"/>
      <c r="N49" s="21"/>
      <c r="U49" s="21"/>
      <c r="V49" s="21"/>
      <c r="W49" s="21"/>
      <c r="X49" s="21"/>
      <c r="Y49" s="21"/>
      <c r="Z49" s="21"/>
      <c r="AA49" s="21"/>
    </row>
    <row r="50" spans="1:27">
      <c r="A50" s="21"/>
      <c r="B50" s="21"/>
      <c r="C50" s="21"/>
      <c r="D50" s="21"/>
      <c r="E50" s="21"/>
      <c r="F50" s="21"/>
      <c r="G50" s="74"/>
      <c r="H50" s="76"/>
      <c r="I50" s="21"/>
      <c r="J50" s="86"/>
      <c r="K50" s="21"/>
      <c r="L50" s="21"/>
      <c r="M50" s="21"/>
      <c r="N50" s="21"/>
      <c r="U50" s="21"/>
      <c r="V50" s="21"/>
      <c r="W50" s="21"/>
      <c r="X50" s="21"/>
      <c r="Y50" s="21"/>
      <c r="Z50" s="21"/>
      <c r="AA50" s="21"/>
    </row>
    <row r="51" spans="1:27">
      <c r="A51" s="21"/>
      <c r="B51" s="21"/>
      <c r="C51" s="21"/>
      <c r="D51" s="21"/>
      <c r="E51" s="21"/>
      <c r="F51" s="21"/>
      <c r="G51" s="74"/>
      <c r="H51" s="76"/>
      <c r="I51" s="21"/>
      <c r="J51" s="86"/>
      <c r="K51" s="21"/>
      <c r="L51" s="21"/>
      <c r="M51" s="21"/>
      <c r="N51" s="21"/>
      <c r="U51" s="21"/>
      <c r="V51" s="21"/>
      <c r="W51" s="21"/>
      <c r="X51" s="21"/>
      <c r="Y51" s="21"/>
      <c r="Z51" s="21"/>
      <c r="AA51" s="21"/>
    </row>
    <row r="52" spans="1:27">
      <c r="A52" s="21"/>
      <c r="B52" s="21"/>
      <c r="C52" s="21"/>
      <c r="D52" s="21"/>
      <c r="E52" s="21"/>
      <c r="F52" s="21"/>
      <c r="G52" s="74"/>
      <c r="H52" s="76"/>
      <c r="I52" s="21"/>
      <c r="J52" s="86"/>
      <c r="K52" s="21"/>
      <c r="L52" s="21"/>
      <c r="M52" s="21"/>
      <c r="N52" s="21"/>
      <c r="U52" s="21"/>
      <c r="V52" s="21"/>
      <c r="W52" s="21"/>
      <c r="X52" s="21"/>
      <c r="Y52" s="21"/>
      <c r="Z52" s="21"/>
      <c r="AA52" s="21"/>
    </row>
    <row r="53" spans="1:27">
      <c r="A53" s="21"/>
      <c r="B53" s="21"/>
      <c r="C53" s="21"/>
      <c r="D53" s="21"/>
      <c r="E53" s="21"/>
      <c r="F53" s="21"/>
      <c r="G53" s="74"/>
      <c r="H53" s="76"/>
      <c r="I53" s="21"/>
      <c r="J53" s="86"/>
      <c r="K53" s="21"/>
      <c r="L53" s="21"/>
      <c r="M53" s="21"/>
      <c r="N53" s="21"/>
      <c r="U53" s="21"/>
      <c r="V53" s="21"/>
      <c r="W53" s="21"/>
      <c r="X53" s="21"/>
      <c r="Y53" s="21"/>
      <c r="Z53" s="21"/>
      <c r="AA53" s="21"/>
    </row>
    <row r="54" spans="1:27">
      <c r="A54" s="21"/>
      <c r="B54" s="21"/>
      <c r="C54" s="21"/>
      <c r="D54" s="21"/>
      <c r="E54" s="21"/>
      <c r="F54" s="21"/>
      <c r="G54" s="74"/>
      <c r="H54" s="76"/>
      <c r="I54" s="21"/>
      <c r="J54" s="86"/>
      <c r="K54" s="21"/>
      <c r="L54" s="21"/>
      <c r="M54" s="21"/>
      <c r="N54" s="21"/>
      <c r="U54" s="21"/>
      <c r="V54" s="21"/>
      <c r="W54" s="21"/>
      <c r="X54" s="21"/>
      <c r="Y54" s="21"/>
      <c r="Z54" s="21"/>
      <c r="AA54" s="21"/>
    </row>
    <row r="55" spans="1:27">
      <c r="A55" s="21"/>
      <c r="B55" s="21"/>
      <c r="C55" s="21"/>
      <c r="D55" s="21"/>
      <c r="E55" s="21"/>
      <c r="F55" s="21"/>
      <c r="G55" s="74"/>
      <c r="H55" s="76"/>
      <c r="I55" s="21"/>
      <c r="J55" s="86"/>
      <c r="K55" s="21"/>
      <c r="L55" s="21"/>
      <c r="M55" s="21"/>
      <c r="N55" s="21"/>
      <c r="U55" s="21"/>
      <c r="V55" s="21"/>
      <c r="W55" s="21"/>
      <c r="X55" s="21"/>
      <c r="Y55" s="21"/>
      <c r="Z55" s="21"/>
      <c r="AA55" s="21"/>
    </row>
    <row r="56" spans="1:27">
      <c r="A56" s="21"/>
      <c r="B56" s="21"/>
      <c r="C56" s="21"/>
      <c r="D56" s="21"/>
      <c r="E56" s="21"/>
      <c r="F56" s="21"/>
      <c r="G56" s="74"/>
      <c r="H56" s="76"/>
      <c r="I56" s="21"/>
      <c r="J56" s="86"/>
      <c r="K56" s="21"/>
      <c r="L56" s="21"/>
      <c r="M56" s="21"/>
      <c r="N56" s="21"/>
      <c r="U56" s="21"/>
      <c r="V56" s="21"/>
      <c r="W56" s="21"/>
      <c r="X56" s="21"/>
      <c r="Y56" s="21"/>
      <c r="Z56" s="21"/>
      <c r="AA56" s="21"/>
    </row>
    <row r="57" spans="1:27">
      <c r="A57" s="21"/>
      <c r="B57" s="21"/>
      <c r="C57" s="21"/>
      <c r="D57" s="21"/>
      <c r="E57" s="21"/>
      <c r="F57" s="21"/>
      <c r="G57" s="74"/>
      <c r="H57" s="76"/>
      <c r="I57" s="21"/>
      <c r="J57" s="86"/>
      <c r="K57" s="21"/>
      <c r="L57" s="21"/>
      <c r="M57" s="21"/>
      <c r="N57" s="21"/>
      <c r="U57" s="21"/>
      <c r="V57" s="21"/>
      <c r="W57" s="21"/>
      <c r="X57" s="21"/>
      <c r="Y57" s="21"/>
      <c r="Z57" s="21"/>
      <c r="AA57" s="21"/>
    </row>
    <row r="58" spans="1:27">
      <c r="A58" s="21"/>
      <c r="B58" s="21"/>
      <c r="C58" s="21"/>
      <c r="D58" s="21"/>
      <c r="E58" s="21"/>
      <c r="F58" s="21"/>
      <c r="G58" s="74"/>
      <c r="H58" s="76"/>
      <c r="I58" s="21"/>
      <c r="J58" s="86"/>
      <c r="K58" s="21"/>
      <c r="L58" s="21"/>
      <c r="M58" s="21"/>
      <c r="N58" s="21"/>
      <c r="U58" s="21"/>
      <c r="V58" s="21"/>
      <c r="W58" s="21"/>
      <c r="X58" s="21"/>
      <c r="Y58" s="21"/>
      <c r="Z58" s="21"/>
      <c r="AA58" s="21"/>
    </row>
    <row r="59" spans="1:27">
      <c r="A59" s="21"/>
      <c r="B59" s="21"/>
      <c r="C59" s="21"/>
      <c r="D59" s="21"/>
      <c r="E59" s="21"/>
      <c r="F59" s="21"/>
      <c r="G59" s="74"/>
      <c r="H59" s="76"/>
      <c r="I59" s="21"/>
      <c r="J59" s="86"/>
      <c r="K59" s="21"/>
      <c r="L59" s="21"/>
      <c r="M59" s="21"/>
      <c r="N59" s="21"/>
      <c r="U59" s="21"/>
      <c r="V59" s="21"/>
      <c r="W59" s="21"/>
      <c r="X59" s="21"/>
      <c r="Y59" s="21"/>
      <c r="Z59" s="21"/>
      <c r="AA59" s="21"/>
    </row>
    <row r="60" spans="1:27">
      <c r="A60" s="21"/>
      <c r="B60" s="21"/>
      <c r="C60" s="21"/>
      <c r="D60" s="21"/>
      <c r="E60" s="21"/>
      <c r="F60" s="21"/>
      <c r="G60" s="74"/>
      <c r="H60" s="76"/>
      <c r="I60" s="21"/>
      <c r="J60" s="86"/>
      <c r="K60" s="21"/>
      <c r="L60" s="21"/>
      <c r="M60" s="21"/>
      <c r="N60" s="21"/>
      <c r="U60" s="21"/>
      <c r="V60" s="21"/>
      <c r="W60" s="21"/>
      <c r="X60" s="21"/>
      <c r="Y60" s="21"/>
      <c r="Z60" s="21"/>
      <c r="AA60" s="21"/>
    </row>
    <row r="61" spans="1:27">
      <c r="A61" s="21"/>
      <c r="B61" s="21"/>
      <c r="C61" s="21"/>
      <c r="D61" s="21"/>
      <c r="E61" s="21"/>
      <c r="F61" s="21"/>
      <c r="G61" s="74"/>
      <c r="H61" s="76"/>
      <c r="I61" s="21"/>
      <c r="J61" s="86"/>
      <c r="K61" s="21"/>
      <c r="L61" s="21"/>
      <c r="M61" s="21"/>
      <c r="N61" s="21"/>
      <c r="U61" s="21"/>
      <c r="V61" s="21"/>
      <c r="W61" s="21"/>
      <c r="X61" s="21"/>
      <c r="Y61" s="21"/>
      <c r="Z61" s="21"/>
      <c r="AA61" s="21"/>
    </row>
    <row r="62" spans="1:27">
      <c r="A62" s="21"/>
      <c r="B62" s="21"/>
      <c r="C62" s="21"/>
      <c r="D62" s="21"/>
      <c r="E62" s="21"/>
      <c r="F62" s="21"/>
      <c r="G62" s="74"/>
      <c r="H62" s="76"/>
      <c r="I62" s="21"/>
      <c r="J62" s="86"/>
      <c r="K62" s="21"/>
      <c r="L62" s="21"/>
      <c r="M62" s="21"/>
      <c r="N62" s="21"/>
      <c r="U62" s="21"/>
      <c r="V62" s="21"/>
      <c r="W62" s="21"/>
      <c r="X62" s="21"/>
      <c r="Y62" s="21"/>
      <c r="Z62" s="21"/>
      <c r="AA62" s="21"/>
    </row>
    <row r="63" spans="1:27">
      <c r="A63" s="21"/>
      <c r="B63" s="21"/>
      <c r="C63" s="21"/>
      <c r="D63" s="21"/>
      <c r="E63" s="21"/>
      <c r="F63" s="21"/>
      <c r="G63" s="74"/>
      <c r="H63" s="76"/>
      <c r="I63" s="21"/>
      <c r="J63" s="86"/>
      <c r="K63" s="21"/>
      <c r="L63" s="21"/>
      <c r="M63" s="21"/>
      <c r="N63" s="21"/>
      <c r="U63" s="21"/>
      <c r="V63" s="21"/>
      <c r="W63" s="21"/>
      <c r="X63" s="21"/>
      <c r="Y63" s="21"/>
      <c r="Z63" s="21"/>
      <c r="AA63" s="21"/>
    </row>
    <row r="64" spans="1:27">
      <c r="A64" s="21"/>
      <c r="B64" s="21"/>
      <c r="C64" s="21"/>
      <c r="D64" s="21"/>
      <c r="E64" s="21"/>
      <c r="F64" s="21"/>
      <c r="G64" s="74"/>
      <c r="H64" s="76"/>
      <c r="I64" s="21"/>
      <c r="J64" s="86"/>
      <c r="K64" s="21"/>
      <c r="L64" s="21"/>
      <c r="M64" s="21"/>
      <c r="N64" s="21"/>
      <c r="U64" s="21"/>
      <c r="V64" s="21"/>
      <c r="W64" s="21"/>
      <c r="X64" s="21"/>
      <c r="Y64" s="21"/>
      <c r="Z64" s="21"/>
      <c r="AA64" s="21"/>
    </row>
    <row r="65" spans="1:27">
      <c r="A65" s="21"/>
      <c r="B65" s="21"/>
      <c r="C65" s="21"/>
      <c r="D65" s="21"/>
      <c r="E65" s="21"/>
      <c r="F65" s="21"/>
      <c r="G65" s="74"/>
      <c r="H65" s="76"/>
      <c r="I65" s="21"/>
      <c r="J65" s="86"/>
      <c r="K65" s="21"/>
      <c r="L65" s="21"/>
      <c r="M65" s="21"/>
      <c r="N65" s="21"/>
      <c r="U65" s="21"/>
      <c r="V65" s="21"/>
      <c r="W65" s="21"/>
      <c r="X65" s="21"/>
      <c r="Y65" s="21"/>
      <c r="Z65" s="21"/>
      <c r="AA65" s="21"/>
    </row>
    <row r="66" spans="1:27">
      <c r="A66" s="21"/>
      <c r="B66" s="21"/>
      <c r="C66" s="21"/>
      <c r="D66" s="21"/>
      <c r="E66" s="21"/>
      <c r="F66" s="21"/>
      <c r="G66" s="74"/>
      <c r="H66" s="76"/>
      <c r="I66" s="21"/>
      <c r="J66" s="86"/>
      <c r="K66" s="21"/>
      <c r="L66" s="21"/>
      <c r="M66" s="21"/>
      <c r="N66" s="21"/>
      <c r="U66" s="21"/>
      <c r="V66" s="21"/>
      <c r="W66" s="21"/>
      <c r="X66" s="21"/>
      <c r="Y66" s="21"/>
      <c r="Z66" s="21"/>
      <c r="AA66" s="21"/>
    </row>
    <row r="67" spans="1:27">
      <c r="A67" s="21"/>
      <c r="B67" s="21"/>
      <c r="C67" s="21"/>
      <c r="D67" s="21"/>
      <c r="E67" s="21"/>
      <c r="F67" s="21"/>
      <c r="G67" s="74"/>
      <c r="H67" s="76"/>
      <c r="I67" s="21"/>
      <c r="J67" s="86"/>
      <c r="K67" s="21"/>
      <c r="L67" s="21"/>
      <c r="M67" s="21"/>
      <c r="N67" s="21"/>
      <c r="U67" s="21"/>
      <c r="V67" s="21"/>
      <c r="W67" s="21"/>
      <c r="X67" s="21"/>
      <c r="Y67" s="21"/>
      <c r="Z67" s="21"/>
      <c r="AA67" s="21"/>
    </row>
    <row r="68" spans="1:27">
      <c r="A68" s="21"/>
      <c r="B68" s="21"/>
      <c r="C68" s="21"/>
      <c r="D68" s="21"/>
      <c r="E68" s="21"/>
      <c r="F68" s="21"/>
      <c r="G68" s="74"/>
      <c r="H68" s="76"/>
      <c r="I68" s="21"/>
      <c r="J68" s="86"/>
      <c r="K68" s="21"/>
      <c r="L68" s="21"/>
      <c r="M68" s="21"/>
      <c r="N68" s="21"/>
      <c r="U68" s="21"/>
      <c r="V68" s="21"/>
      <c r="W68" s="21"/>
      <c r="X68" s="21"/>
      <c r="Y68" s="21"/>
      <c r="Z68" s="21"/>
      <c r="AA68" s="21"/>
    </row>
    <row r="69" spans="1:27">
      <c r="A69" s="21"/>
      <c r="B69" s="21"/>
      <c r="C69" s="21"/>
      <c r="D69" s="21"/>
      <c r="E69" s="21"/>
      <c r="F69" s="21"/>
      <c r="G69" s="74"/>
      <c r="H69" s="76"/>
      <c r="I69" s="21"/>
      <c r="J69" s="86"/>
      <c r="K69" s="21"/>
      <c r="L69" s="21"/>
      <c r="M69" s="21"/>
      <c r="N69" s="21"/>
      <c r="U69" s="21"/>
      <c r="V69" s="21"/>
      <c r="W69" s="21"/>
      <c r="X69" s="21"/>
      <c r="Y69" s="21"/>
      <c r="Z69" s="21"/>
      <c r="AA69" s="21"/>
    </row>
    <row r="70" spans="1:27">
      <c r="A70" s="21"/>
      <c r="B70" s="21"/>
      <c r="C70" s="21"/>
      <c r="D70" s="21"/>
      <c r="E70" s="21"/>
      <c r="F70" s="21"/>
      <c r="G70" s="74"/>
      <c r="H70" s="76"/>
      <c r="I70" s="21"/>
      <c r="J70" s="86"/>
      <c r="K70" s="21"/>
      <c r="L70" s="21"/>
      <c r="M70" s="21"/>
      <c r="N70" s="21"/>
      <c r="U70" s="21"/>
      <c r="V70" s="21"/>
      <c r="W70" s="21"/>
      <c r="X70" s="21"/>
      <c r="Y70" s="21"/>
      <c r="Z70" s="21"/>
      <c r="AA70" s="21"/>
    </row>
    <row r="71" spans="1:27">
      <c r="A71" s="21"/>
      <c r="B71" s="21"/>
      <c r="C71" s="21"/>
      <c r="D71" s="21"/>
      <c r="E71" s="21"/>
      <c r="F71" s="21"/>
      <c r="G71" s="74"/>
      <c r="H71" s="76"/>
      <c r="I71" s="21"/>
      <c r="J71" s="86"/>
      <c r="K71" s="21"/>
      <c r="L71" s="21"/>
      <c r="M71" s="21"/>
      <c r="N71" s="21"/>
      <c r="U71" s="21"/>
      <c r="V71" s="21"/>
      <c r="W71" s="21"/>
      <c r="X71" s="21"/>
      <c r="Y71" s="21"/>
      <c r="Z71" s="21"/>
      <c r="AA71" s="21"/>
    </row>
    <row r="72" spans="1:27">
      <c r="A72" s="21"/>
      <c r="B72" s="21"/>
      <c r="C72" s="21"/>
      <c r="D72" s="21"/>
      <c r="E72" s="21"/>
      <c r="F72" s="21"/>
      <c r="G72" s="74"/>
      <c r="H72" s="76"/>
      <c r="I72" s="21"/>
      <c r="J72" s="86"/>
      <c r="K72" s="21"/>
      <c r="L72" s="21"/>
      <c r="M72" s="21"/>
      <c r="N72" s="21"/>
      <c r="U72" s="21"/>
      <c r="V72" s="21"/>
      <c r="W72" s="21"/>
      <c r="X72" s="21"/>
      <c r="Y72" s="21"/>
      <c r="Z72" s="21"/>
      <c r="AA72" s="21"/>
    </row>
    <row r="73" spans="1:27">
      <c r="A73" s="21"/>
      <c r="B73" s="21"/>
      <c r="C73" s="21"/>
      <c r="D73" s="21"/>
      <c r="E73" s="21"/>
      <c r="F73" s="21"/>
      <c r="G73" s="74"/>
      <c r="H73" s="76"/>
      <c r="I73" s="21"/>
      <c r="J73" s="86"/>
      <c r="K73" s="21"/>
      <c r="L73" s="21"/>
      <c r="M73" s="21"/>
      <c r="N73" s="21"/>
      <c r="U73" s="21"/>
      <c r="V73" s="21"/>
      <c r="W73" s="21"/>
      <c r="X73" s="21"/>
      <c r="Y73" s="21"/>
      <c r="Z73" s="21"/>
      <c r="AA73" s="21"/>
    </row>
    <row r="74" spans="1:27">
      <c r="A74" s="21"/>
      <c r="B74" s="21"/>
      <c r="C74" s="21"/>
      <c r="D74" s="21"/>
      <c r="E74" s="21"/>
      <c r="F74" s="21"/>
      <c r="G74" s="74"/>
      <c r="H74" s="76"/>
      <c r="I74" s="21"/>
      <c r="J74" s="86"/>
      <c r="K74" s="21"/>
      <c r="L74" s="21"/>
      <c r="M74" s="21"/>
      <c r="N74" s="21"/>
      <c r="U74" s="21"/>
      <c r="V74" s="21"/>
      <c r="W74" s="21"/>
      <c r="X74" s="21"/>
      <c r="Y74" s="21"/>
      <c r="Z74" s="21"/>
      <c r="AA74" s="21"/>
    </row>
    <row r="75" spans="1:27">
      <c r="A75" s="21"/>
      <c r="B75" s="21"/>
      <c r="C75" s="21"/>
      <c r="D75" s="21"/>
      <c r="E75" s="21"/>
      <c r="F75" s="21"/>
      <c r="G75" s="74"/>
      <c r="H75" s="76"/>
      <c r="I75" s="21"/>
      <c r="J75" s="86"/>
      <c r="K75" s="21"/>
      <c r="L75" s="21"/>
      <c r="M75" s="21"/>
      <c r="N75" s="21"/>
      <c r="U75" s="21"/>
      <c r="V75" s="21"/>
      <c r="W75" s="21"/>
      <c r="X75" s="21"/>
      <c r="Y75" s="21"/>
      <c r="Z75" s="21"/>
      <c r="AA75" s="21"/>
    </row>
    <row r="76" spans="1:27">
      <c r="A76" s="21"/>
      <c r="B76" s="21"/>
      <c r="C76" s="21"/>
      <c r="D76" s="21"/>
      <c r="E76" s="21"/>
      <c r="F76" s="21"/>
      <c r="G76" s="74"/>
      <c r="H76" s="76"/>
      <c r="I76" s="21"/>
      <c r="J76" s="86"/>
      <c r="K76" s="21"/>
      <c r="L76" s="21"/>
      <c r="M76" s="21"/>
      <c r="N76" s="21"/>
      <c r="U76" s="21"/>
      <c r="V76" s="21"/>
      <c r="W76" s="21"/>
      <c r="X76" s="21"/>
      <c r="Y76" s="21"/>
      <c r="Z76" s="21"/>
      <c r="AA76" s="21"/>
    </row>
    <row r="77" spans="1:27">
      <c r="A77" s="21"/>
      <c r="B77" s="21"/>
      <c r="C77" s="21"/>
      <c r="D77" s="21"/>
      <c r="E77" s="21"/>
      <c r="F77" s="21"/>
      <c r="G77" s="74"/>
      <c r="H77" s="76"/>
      <c r="I77" s="21"/>
      <c r="J77" s="86"/>
      <c r="K77" s="21"/>
      <c r="L77" s="21"/>
      <c r="M77" s="21"/>
      <c r="N77" s="21"/>
      <c r="U77" s="21"/>
      <c r="V77" s="21"/>
      <c r="W77" s="21"/>
      <c r="X77" s="21"/>
      <c r="Y77" s="21"/>
      <c r="Z77" s="21"/>
      <c r="AA77" s="21"/>
    </row>
    <row r="78" spans="1:27">
      <c r="A78" s="21"/>
      <c r="B78" s="21"/>
      <c r="C78" s="21"/>
      <c r="D78" s="21"/>
      <c r="E78" s="21"/>
      <c r="F78" s="21"/>
      <c r="G78" s="74"/>
      <c r="H78" s="76"/>
      <c r="I78" s="21"/>
      <c r="J78" s="86"/>
      <c r="K78" s="21"/>
      <c r="L78" s="21"/>
      <c r="M78" s="21"/>
      <c r="N78" s="21"/>
      <c r="U78" s="21"/>
      <c r="V78" s="21"/>
      <c r="W78" s="21"/>
      <c r="X78" s="21"/>
      <c r="Y78" s="21"/>
      <c r="Z78" s="21"/>
      <c r="AA78" s="21"/>
    </row>
    <row r="79" spans="1:27">
      <c r="A79" s="21"/>
      <c r="B79" s="21"/>
      <c r="C79" s="21"/>
      <c r="D79" s="21"/>
      <c r="E79" s="21"/>
      <c r="F79" s="21"/>
      <c r="G79" s="74"/>
      <c r="H79" s="76"/>
      <c r="I79" s="21"/>
      <c r="J79" s="86"/>
      <c r="K79" s="21"/>
      <c r="L79" s="21"/>
      <c r="M79" s="21"/>
      <c r="N79" s="21"/>
      <c r="U79" s="21"/>
      <c r="V79" s="21"/>
      <c r="W79" s="21"/>
      <c r="X79" s="21"/>
      <c r="Y79" s="21"/>
      <c r="Z79" s="21"/>
      <c r="AA79" s="21"/>
    </row>
    <row r="80" spans="1:27">
      <c r="A80" s="21"/>
      <c r="B80" s="21"/>
      <c r="C80" s="21"/>
      <c r="D80" s="21"/>
      <c r="E80" s="21"/>
      <c r="F80" s="21"/>
      <c r="G80" s="74"/>
      <c r="H80" s="76"/>
      <c r="I80" s="21"/>
      <c r="J80" s="86"/>
      <c r="K80" s="21"/>
      <c r="L80" s="21"/>
      <c r="M80" s="21"/>
      <c r="N80" s="21"/>
      <c r="U80" s="21"/>
      <c r="V80" s="21"/>
      <c r="W80" s="21"/>
      <c r="X80" s="21"/>
      <c r="Y80" s="21"/>
      <c r="Z80" s="21"/>
      <c r="AA80" s="21"/>
    </row>
    <row r="81" spans="1:27">
      <c r="A81" s="21"/>
      <c r="B81" s="21"/>
      <c r="C81" s="21"/>
      <c r="D81" s="21"/>
      <c r="E81" s="21"/>
      <c r="F81" s="21"/>
      <c r="G81" s="74"/>
      <c r="H81" s="76"/>
      <c r="I81" s="21"/>
      <c r="J81" s="86"/>
      <c r="K81" s="21"/>
      <c r="L81" s="21"/>
      <c r="M81" s="21"/>
      <c r="N81" s="21"/>
      <c r="U81" s="21"/>
      <c r="V81" s="21"/>
      <c r="W81" s="21"/>
      <c r="X81" s="21"/>
      <c r="Y81" s="21"/>
      <c r="Z81" s="21"/>
      <c r="AA81" s="21"/>
    </row>
    <row r="82" spans="1:27">
      <c r="A82" s="21"/>
      <c r="B82" s="21"/>
      <c r="C82" s="21"/>
      <c r="D82" s="21"/>
      <c r="E82" s="21"/>
      <c r="F82" s="21"/>
      <c r="G82" s="74"/>
      <c r="H82" s="76"/>
      <c r="I82" s="21"/>
      <c r="J82" s="86"/>
      <c r="K82" s="21"/>
      <c r="L82" s="21"/>
      <c r="M82" s="21"/>
      <c r="N82" s="21"/>
      <c r="U82" s="21"/>
      <c r="V82" s="21"/>
      <c r="W82" s="21"/>
      <c r="X82" s="21"/>
      <c r="Y82" s="21"/>
      <c r="Z82" s="21"/>
      <c r="AA82" s="21"/>
    </row>
    <row r="83" spans="1:27">
      <c r="A83" s="21"/>
      <c r="B83" s="21"/>
      <c r="C83" s="21"/>
      <c r="D83" s="21"/>
      <c r="E83" s="21"/>
      <c r="F83" s="21"/>
      <c r="G83" s="74"/>
      <c r="H83" s="76"/>
      <c r="I83" s="21"/>
      <c r="J83" s="86"/>
      <c r="K83" s="21"/>
      <c r="L83" s="21"/>
      <c r="M83" s="21"/>
      <c r="N83" s="21"/>
      <c r="U83" s="21"/>
      <c r="V83" s="21"/>
      <c r="W83" s="21"/>
      <c r="X83" s="21"/>
      <c r="Y83" s="21"/>
      <c r="Z83" s="21"/>
      <c r="AA83" s="21"/>
    </row>
    <row r="84" spans="1:27">
      <c r="A84" s="21"/>
      <c r="B84" s="21"/>
      <c r="C84" s="21"/>
      <c r="D84" s="21"/>
      <c r="E84" s="21"/>
      <c r="F84" s="21"/>
      <c r="G84" s="74"/>
      <c r="H84" s="76"/>
      <c r="I84" s="21"/>
      <c r="J84" s="86"/>
      <c r="K84" s="21"/>
      <c r="L84" s="21"/>
      <c r="M84" s="21"/>
      <c r="N84" s="21"/>
      <c r="U84" s="21"/>
      <c r="V84" s="21"/>
      <c r="W84" s="21"/>
      <c r="X84" s="21"/>
      <c r="Y84" s="21"/>
      <c r="Z84" s="21"/>
      <c r="AA84" s="21"/>
    </row>
    <row r="85" spans="1:27">
      <c r="A85" s="21"/>
      <c r="B85" s="21"/>
      <c r="C85" s="21"/>
      <c r="D85" s="21"/>
      <c r="E85" s="21"/>
      <c r="F85" s="21"/>
      <c r="G85" s="74"/>
      <c r="H85" s="76"/>
      <c r="I85" s="21"/>
      <c r="J85" s="86"/>
      <c r="K85" s="21"/>
      <c r="L85" s="21"/>
      <c r="M85" s="21"/>
      <c r="N85" s="21"/>
      <c r="U85" s="21"/>
      <c r="V85" s="21"/>
      <c r="W85" s="21"/>
      <c r="X85" s="21"/>
      <c r="Y85" s="21"/>
      <c r="Z85" s="21"/>
      <c r="AA85" s="21"/>
    </row>
    <row r="86" spans="1:27">
      <c r="A86" s="21"/>
      <c r="B86" s="21"/>
      <c r="C86" s="21"/>
      <c r="D86" s="21"/>
      <c r="E86" s="21"/>
      <c r="F86" s="21"/>
      <c r="G86" s="74"/>
      <c r="H86" s="76"/>
      <c r="I86" s="21"/>
      <c r="J86" s="86"/>
      <c r="K86" s="21"/>
      <c r="L86" s="21"/>
      <c r="M86" s="21"/>
      <c r="N86" s="21"/>
      <c r="U86" s="21"/>
      <c r="V86" s="21"/>
      <c r="W86" s="21"/>
      <c r="X86" s="21"/>
      <c r="Y86" s="21"/>
      <c r="Z86" s="21"/>
      <c r="AA86" s="21"/>
    </row>
    <row r="87" spans="1:27">
      <c r="A87" s="21"/>
      <c r="B87" s="21"/>
      <c r="C87" s="21"/>
      <c r="D87" s="21"/>
      <c r="E87" s="21"/>
      <c r="F87" s="21"/>
      <c r="G87" s="74"/>
      <c r="H87" s="76"/>
      <c r="I87" s="21"/>
      <c r="J87" s="86"/>
      <c r="K87" s="21"/>
      <c r="L87" s="21"/>
      <c r="M87" s="21"/>
      <c r="N87" s="21"/>
      <c r="U87" s="21"/>
      <c r="V87" s="21"/>
      <c r="W87" s="21"/>
      <c r="X87" s="21"/>
      <c r="Y87" s="21"/>
      <c r="Z87" s="21"/>
      <c r="AA87" s="21"/>
    </row>
    <row r="88" spans="1:27">
      <c r="A88" s="21"/>
      <c r="B88" s="21"/>
      <c r="C88" s="21"/>
      <c r="D88" s="21"/>
      <c r="E88" s="21"/>
      <c r="F88" s="21"/>
      <c r="G88" s="74"/>
      <c r="H88" s="76"/>
      <c r="I88" s="21"/>
      <c r="J88" s="86"/>
      <c r="K88" s="21"/>
      <c r="L88" s="21"/>
      <c r="M88" s="21"/>
      <c r="N88" s="21"/>
      <c r="U88" s="21"/>
      <c r="V88" s="21"/>
      <c r="W88" s="21"/>
      <c r="X88" s="21"/>
      <c r="Y88" s="21"/>
      <c r="Z88" s="21"/>
      <c r="AA88" s="21"/>
    </row>
    <row r="89" spans="1:27">
      <c r="A89" s="21"/>
      <c r="B89" s="21"/>
      <c r="C89" s="21"/>
      <c r="D89" s="21"/>
      <c r="E89" s="21"/>
      <c r="F89" s="21"/>
      <c r="G89" s="74"/>
      <c r="H89" s="76"/>
      <c r="I89" s="21"/>
      <c r="J89" s="86"/>
      <c r="K89" s="21"/>
      <c r="L89" s="21"/>
      <c r="M89" s="21"/>
      <c r="N89" s="21"/>
      <c r="U89" s="21"/>
      <c r="V89" s="21"/>
      <c r="W89" s="21"/>
      <c r="X89" s="21"/>
      <c r="Y89" s="21"/>
      <c r="Z89" s="21"/>
      <c r="AA89" s="21"/>
    </row>
    <row r="90" spans="1:27">
      <c r="A90" s="21"/>
      <c r="B90" s="21"/>
      <c r="C90" s="21"/>
      <c r="D90" s="21"/>
      <c r="E90" s="21"/>
      <c r="F90" s="21"/>
      <c r="G90" s="74"/>
      <c r="H90" s="76"/>
      <c r="I90" s="21"/>
      <c r="J90" s="86"/>
      <c r="K90" s="21"/>
      <c r="L90" s="21"/>
      <c r="M90" s="21"/>
      <c r="N90" s="21"/>
      <c r="U90" s="21"/>
      <c r="V90" s="21"/>
      <c r="W90" s="21"/>
      <c r="X90" s="21"/>
      <c r="Y90" s="21"/>
      <c r="Z90" s="21"/>
      <c r="AA90" s="21"/>
    </row>
    <row r="91" spans="1:27">
      <c r="A91" s="21"/>
      <c r="B91" s="21"/>
      <c r="C91" s="21"/>
      <c r="D91" s="21"/>
      <c r="E91" s="21"/>
      <c r="F91" s="21"/>
      <c r="G91" s="74"/>
      <c r="H91" s="76"/>
      <c r="I91" s="21"/>
      <c r="J91" s="86"/>
      <c r="K91" s="21"/>
      <c r="L91" s="21"/>
      <c r="M91" s="21"/>
      <c r="N91" s="21"/>
      <c r="U91" s="21"/>
      <c r="V91" s="21"/>
      <c r="W91" s="21"/>
      <c r="X91" s="21"/>
      <c r="Y91" s="21"/>
      <c r="Z91" s="21"/>
      <c r="AA91" s="21"/>
    </row>
    <row r="92" spans="1:27">
      <c r="A92" s="21"/>
      <c r="B92" s="21"/>
      <c r="C92" s="21"/>
      <c r="D92" s="21"/>
      <c r="E92" s="21"/>
      <c r="F92" s="21"/>
      <c r="G92" s="74"/>
      <c r="H92" s="76"/>
      <c r="I92" s="21"/>
      <c r="J92" s="86"/>
      <c r="K92" s="21"/>
      <c r="L92" s="21"/>
      <c r="M92" s="21"/>
      <c r="N92" s="21"/>
      <c r="U92" s="21"/>
      <c r="V92" s="21"/>
      <c r="W92" s="21"/>
      <c r="X92" s="21"/>
      <c r="Y92" s="21"/>
      <c r="Z92" s="21"/>
      <c r="AA92" s="21"/>
    </row>
    <row r="93" spans="1:27">
      <c r="A93" s="21"/>
      <c r="B93" s="21"/>
      <c r="C93" s="21"/>
      <c r="D93" s="21"/>
      <c r="E93" s="21"/>
      <c r="F93" s="21"/>
      <c r="G93" s="74"/>
      <c r="H93" s="76"/>
      <c r="I93" s="21"/>
      <c r="J93" s="86"/>
      <c r="K93" s="21"/>
      <c r="L93" s="21"/>
      <c r="M93" s="21"/>
      <c r="N93" s="21"/>
      <c r="U93" s="21"/>
      <c r="V93" s="21"/>
      <c r="W93" s="21"/>
      <c r="X93" s="21"/>
      <c r="Y93" s="21"/>
      <c r="Z93" s="21"/>
      <c r="AA93" s="21"/>
    </row>
    <row r="94" spans="1:27">
      <c r="A94" s="21"/>
      <c r="B94" s="21"/>
      <c r="C94" s="21"/>
      <c r="D94" s="21"/>
      <c r="E94" s="21"/>
      <c r="F94" s="21"/>
      <c r="G94" s="74"/>
      <c r="H94" s="76"/>
      <c r="I94" s="21"/>
      <c r="J94" s="86"/>
      <c r="K94" s="21"/>
      <c r="L94" s="21"/>
      <c r="M94" s="21"/>
      <c r="N94" s="21"/>
      <c r="U94" s="21"/>
      <c r="V94" s="21"/>
      <c r="W94" s="21"/>
      <c r="X94" s="21"/>
      <c r="Y94" s="21"/>
      <c r="Z94" s="21"/>
      <c r="AA94" s="21"/>
    </row>
    <row r="95" spans="1:27">
      <c r="A95" s="21"/>
      <c r="B95" s="21"/>
      <c r="C95" s="21"/>
      <c r="D95" s="21"/>
      <c r="E95" s="21"/>
      <c r="F95" s="21"/>
      <c r="G95" s="74"/>
      <c r="H95" s="76"/>
      <c r="I95" s="21"/>
      <c r="J95" s="86"/>
      <c r="K95" s="21"/>
      <c r="L95" s="21"/>
      <c r="M95" s="21"/>
      <c r="N95" s="21"/>
      <c r="U95" s="21"/>
      <c r="V95" s="21"/>
      <c r="W95" s="21"/>
      <c r="X95" s="21"/>
      <c r="Y95" s="21"/>
      <c r="Z95" s="21"/>
      <c r="AA95" s="21"/>
    </row>
    <row r="96" spans="1:27">
      <c r="A96" s="21"/>
      <c r="B96" s="21"/>
      <c r="C96" s="21"/>
      <c r="D96" s="21"/>
      <c r="E96" s="21"/>
      <c r="F96" s="21"/>
      <c r="G96" s="74"/>
      <c r="H96" s="76"/>
      <c r="I96" s="21"/>
      <c r="J96" s="86"/>
      <c r="K96" s="21"/>
      <c r="L96" s="21"/>
      <c r="M96" s="21"/>
      <c r="N96" s="21"/>
      <c r="U96" s="21"/>
      <c r="V96" s="21"/>
      <c r="W96" s="21"/>
      <c r="X96" s="21"/>
      <c r="Y96" s="21"/>
      <c r="Z96" s="21"/>
      <c r="AA96" s="21"/>
    </row>
    <row r="97" spans="1:27">
      <c r="A97" s="21"/>
      <c r="B97" s="21"/>
      <c r="C97" s="21"/>
      <c r="D97" s="21"/>
      <c r="E97" s="21"/>
      <c r="F97" s="21"/>
      <c r="G97" s="74"/>
      <c r="H97" s="76"/>
      <c r="I97" s="21"/>
      <c r="J97" s="86"/>
      <c r="K97" s="21"/>
      <c r="L97" s="21"/>
      <c r="M97" s="21"/>
      <c r="N97" s="21"/>
      <c r="U97" s="21"/>
      <c r="V97" s="21"/>
      <c r="W97" s="21"/>
      <c r="X97" s="21"/>
      <c r="Y97" s="21"/>
      <c r="Z97" s="21"/>
      <c r="AA97" s="21"/>
    </row>
    <row r="98" spans="1:27">
      <c r="A98" s="21"/>
      <c r="B98" s="21"/>
      <c r="C98" s="21"/>
      <c r="D98" s="21"/>
      <c r="E98" s="21"/>
      <c r="F98" s="21"/>
      <c r="G98" s="74"/>
      <c r="H98" s="76"/>
      <c r="I98" s="21"/>
      <c r="J98" s="86"/>
      <c r="K98" s="21"/>
      <c r="L98" s="21"/>
      <c r="M98" s="21"/>
      <c r="N98" s="21"/>
      <c r="U98" s="21"/>
      <c r="V98" s="21"/>
      <c r="W98" s="21"/>
      <c r="X98" s="21"/>
      <c r="Y98" s="21"/>
      <c r="Z98" s="21"/>
      <c r="AA98" s="21"/>
    </row>
    <row r="99" spans="1:27">
      <c r="A99" s="21"/>
      <c r="B99" s="21"/>
      <c r="C99" s="21"/>
      <c r="D99" s="21"/>
      <c r="E99" s="21"/>
      <c r="F99" s="21"/>
      <c r="G99" s="74"/>
      <c r="H99" s="76"/>
      <c r="I99" s="21"/>
      <c r="J99" s="86"/>
      <c r="K99" s="21"/>
      <c r="L99" s="21"/>
      <c r="M99" s="21"/>
      <c r="N99" s="21"/>
      <c r="U99" s="21"/>
      <c r="V99" s="21"/>
      <c r="W99" s="21"/>
      <c r="X99" s="21"/>
      <c r="Y99" s="21"/>
      <c r="Z99" s="21"/>
      <c r="AA99" s="21"/>
    </row>
    <row r="100" spans="1:27">
      <c r="A100" s="21"/>
      <c r="B100" s="21"/>
      <c r="C100" s="21"/>
      <c r="D100" s="21"/>
      <c r="E100" s="21"/>
      <c r="F100" s="21"/>
      <c r="G100" s="74"/>
      <c r="H100" s="76"/>
      <c r="I100" s="21"/>
      <c r="J100" s="86"/>
      <c r="K100" s="21"/>
      <c r="L100" s="21"/>
      <c r="M100" s="21"/>
      <c r="N100" s="21"/>
      <c r="U100" s="21"/>
      <c r="V100" s="21"/>
      <c r="W100" s="21"/>
      <c r="X100" s="21"/>
      <c r="Y100" s="21"/>
      <c r="Z100" s="21"/>
      <c r="AA100" s="21"/>
    </row>
    <row r="101" spans="1:27">
      <c r="A101" s="21"/>
      <c r="B101" s="21"/>
      <c r="C101" s="21"/>
      <c r="D101" s="21"/>
      <c r="E101" s="21"/>
      <c r="F101" s="21"/>
      <c r="G101" s="74"/>
      <c r="H101" s="76"/>
      <c r="I101" s="21"/>
      <c r="J101" s="86"/>
      <c r="K101" s="21"/>
      <c r="L101" s="21"/>
      <c r="M101" s="21"/>
      <c r="N101" s="21"/>
      <c r="U101" s="21"/>
      <c r="V101" s="21"/>
      <c r="W101" s="21"/>
      <c r="X101" s="21"/>
      <c r="Y101" s="21"/>
      <c r="Z101" s="21"/>
      <c r="AA101" s="21"/>
    </row>
    <row r="102" spans="1:27">
      <c r="A102" s="21"/>
      <c r="B102" s="21"/>
      <c r="C102" s="21"/>
      <c r="D102" s="21"/>
      <c r="E102" s="21"/>
      <c r="F102" s="21"/>
      <c r="G102" s="74"/>
      <c r="H102" s="76"/>
      <c r="I102" s="21"/>
      <c r="J102" s="86"/>
      <c r="K102" s="21"/>
      <c r="L102" s="21"/>
      <c r="M102" s="21"/>
      <c r="N102" s="21"/>
      <c r="U102" s="21"/>
      <c r="V102" s="21"/>
      <c r="W102" s="21"/>
      <c r="X102" s="21"/>
      <c r="Y102" s="21"/>
      <c r="Z102" s="21"/>
      <c r="AA102" s="21"/>
    </row>
    <row r="103" spans="1:27">
      <c r="A103" s="21"/>
      <c r="B103" s="21"/>
      <c r="C103" s="21"/>
      <c r="D103" s="21"/>
      <c r="E103" s="21"/>
      <c r="F103" s="21"/>
      <c r="G103" s="74"/>
      <c r="H103" s="76"/>
      <c r="I103" s="21"/>
      <c r="J103" s="86"/>
      <c r="K103" s="21"/>
      <c r="L103" s="21"/>
      <c r="M103" s="21"/>
      <c r="N103" s="21"/>
      <c r="U103" s="21"/>
      <c r="V103" s="21"/>
      <c r="W103" s="21"/>
      <c r="X103" s="21"/>
      <c r="Y103" s="21"/>
      <c r="Z103" s="21"/>
      <c r="AA103" s="21"/>
    </row>
    <row r="104" spans="1:27">
      <c r="A104" s="21"/>
      <c r="B104" s="21"/>
      <c r="C104" s="21"/>
      <c r="D104" s="21"/>
      <c r="E104" s="21"/>
      <c r="F104" s="21"/>
      <c r="G104" s="74"/>
      <c r="H104" s="76"/>
      <c r="I104" s="21"/>
      <c r="J104" s="86"/>
      <c r="K104" s="21"/>
      <c r="L104" s="21"/>
      <c r="M104" s="21"/>
      <c r="N104" s="21"/>
      <c r="U104" s="21"/>
      <c r="V104" s="21"/>
      <c r="W104" s="21"/>
      <c r="X104" s="21"/>
      <c r="Y104" s="21"/>
      <c r="Z104" s="21"/>
      <c r="AA104" s="21"/>
    </row>
    <row r="105" spans="1:27">
      <c r="A105" s="21"/>
      <c r="B105" s="21"/>
      <c r="C105" s="21"/>
      <c r="D105" s="21"/>
      <c r="E105" s="21"/>
      <c r="F105" s="21"/>
      <c r="G105" s="74"/>
      <c r="H105" s="76"/>
      <c r="I105" s="21"/>
      <c r="J105" s="86"/>
      <c r="K105" s="21"/>
      <c r="L105" s="21"/>
      <c r="M105" s="21"/>
      <c r="N105" s="21"/>
      <c r="U105" s="21"/>
      <c r="V105" s="21"/>
      <c r="W105" s="21"/>
      <c r="X105" s="21"/>
      <c r="Y105" s="21"/>
      <c r="Z105" s="21"/>
      <c r="AA105" s="21"/>
    </row>
    <row r="106" spans="1:27">
      <c r="A106" s="21"/>
      <c r="B106" s="21"/>
      <c r="C106" s="21"/>
      <c r="D106" s="21"/>
      <c r="E106" s="21"/>
      <c r="F106" s="21"/>
      <c r="G106" s="74"/>
      <c r="H106" s="76"/>
      <c r="I106" s="21"/>
      <c r="J106" s="86"/>
      <c r="K106" s="21"/>
      <c r="L106" s="21"/>
      <c r="M106" s="21"/>
      <c r="N106" s="21"/>
      <c r="U106" s="21"/>
      <c r="V106" s="21"/>
      <c r="W106" s="21"/>
      <c r="X106" s="21"/>
      <c r="Y106" s="21"/>
      <c r="Z106" s="21"/>
      <c r="AA106" s="21"/>
    </row>
    <row r="107" spans="1:27">
      <c r="A107" s="21"/>
      <c r="B107" s="21"/>
      <c r="C107" s="21"/>
      <c r="D107" s="21"/>
      <c r="E107" s="21"/>
      <c r="F107" s="21"/>
      <c r="G107" s="74"/>
      <c r="H107" s="76"/>
      <c r="I107" s="21"/>
      <c r="J107" s="86"/>
      <c r="K107" s="21"/>
      <c r="L107" s="21"/>
      <c r="M107" s="21"/>
      <c r="N107" s="21"/>
      <c r="U107" s="21"/>
      <c r="V107" s="21"/>
      <c r="W107" s="21"/>
      <c r="X107" s="21"/>
      <c r="Y107" s="21"/>
      <c r="Z107" s="21"/>
      <c r="AA107" s="21"/>
    </row>
    <row r="108" spans="1:27">
      <c r="A108" s="21"/>
      <c r="B108" s="21"/>
      <c r="C108" s="21"/>
      <c r="D108" s="21"/>
      <c r="E108" s="21"/>
      <c r="F108" s="21"/>
      <c r="G108" s="74"/>
      <c r="H108" s="76"/>
      <c r="I108" s="21"/>
      <c r="J108" s="86"/>
      <c r="K108" s="21"/>
      <c r="L108" s="21"/>
      <c r="M108" s="21"/>
      <c r="N108" s="21"/>
      <c r="U108" s="21"/>
      <c r="V108" s="21"/>
      <c r="W108" s="21"/>
      <c r="X108" s="21"/>
      <c r="Y108" s="21"/>
      <c r="Z108" s="21"/>
      <c r="AA108" s="21"/>
    </row>
    <row r="109" spans="1:27">
      <c r="A109" s="21"/>
      <c r="B109" s="21"/>
      <c r="C109" s="21"/>
      <c r="D109" s="21"/>
      <c r="E109" s="21"/>
      <c r="F109" s="21"/>
      <c r="G109" s="74"/>
      <c r="H109" s="76"/>
      <c r="I109" s="21"/>
      <c r="J109" s="86"/>
      <c r="K109" s="21"/>
      <c r="L109" s="21"/>
      <c r="M109" s="21"/>
      <c r="N109" s="21"/>
      <c r="U109" s="21"/>
      <c r="V109" s="21"/>
      <c r="W109" s="21"/>
      <c r="X109" s="21"/>
      <c r="Y109" s="21"/>
      <c r="Z109" s="21"/>
      <c r="AA109" s="21"/>
    </row>
    <row r="110" spans="1:27">
      <c r="A110" s="21"/>
      <c r="B110" s="21"/>
      <c r="C110" s="21"/>
      <c r="D110" s="21"/>
      <c r="E110" s="21"/>
      <c r="F110" s="21"/>
      <c r="G110" s="74"/>
      <c r="H110" s="76"/>
      <c r="I110" s="21"/>
      <c r="J110" s="86"/>
      <c r="K110" s="21"/>
      <c r="L110" s="21"/>
      <c r="M110" s="21"/>
      <c r="N110" s="21"/>
      <c r="U110" s="21"/>
      <c r="V110" s="21"/>
      <c r="W110" s="21"/>
      <c r="X110" s="21"/>
      <c r="Y110" s="21"/>
      <c r="Z110" s="21"/>
      <c r="AA110" s="21"/>
    </row>
    <row r="111" spans="1:27">
      <c r="A111" s="21"/>
      <c r="B111" s="21"/>
      <c r="C111" s="21"/>
      <c r="D111" s="21"/>
      <c r="E111" s="21"/>
      <c r="F111" s="21"/>
      <c r="G111" s="74"/>
      <c r="H111" s="76"/>
      <c r="I111" s="21"/>
      <c r="J111" s="86"/>
      <c r="K111" s="21"/>
      <c r="L111" s="21"/>
      <c r="M111" s="21"/>
      <c r="N111" s="21"/>
      <c r="U111" s="21"/>
      <c r="V111" s="21"/>
      <c r="W111" s="21"/>
      <c r="X111" s="21"/>
      <c r="Y111" s="21"/>
      <c r="Z111" s="21"/>
      <c r="AA111" s="21"/>
    </row>
    <row r="112" spans="1:27">
      <c r="A112" s="21"/>
      <c r="B112" s="21"/>
      <c r="C112" s="21"/>
      <c r="D112" s="21"/>
      <c r="E112" s="21"/>
      <c r="F112" s="21"/>
      <c r="G112" s="74"/>
      <c r="H112" s="76"/>
      <c r="I112" s="21"/>
      <c r="J112" s="86"/>
      <c r="K112" s="21"/>
      <c r="L112" s="21"/>
      <c r="M112" s="21"/>
      <c r="N112" s="21"/>
      <c r="U112" s="21"/>
      <c r="V112" s="21"/>
      <c r="W112" s="21"/>
      <c r="X112" s="21"/>
      <c r="Y112" s="21"/>
      <c r="Z112" s="21"/>
      <c r="AA112" s="21"/>
    </row>
    <row r="113" spans="1:27">
      <c r="A113" s="21"/>
      <c r="B113" s="21"/>
      <c r="C113" s="21"/>
      <c r="D113" s="21"/>
      <c r="E113" s="21"/>
      <c r="F113" s="21"/>
      <c r="G113" s="74"/>
      <c r="H113" s="76"/>
      <c r="I113" s="21"/>
      <c r="J113" s="86"/>
      <c r="K113" s="21"/>
      <c r="L113" s="21"/>
      <c r="M113" s="21"/>
      <c r="N113" s="21"/>
      <c r="U113" s="21"/>
      <c r="V113" s="21"/>
      <c r="W113" s="21"/>
      <c r="X113" s="21"/>
      <c r="Y113" s="21"/>
      <c r="Z113" s="21"/>
      <c r="AA113" s="21"/>
    </row>
    <row r="114" spans="1:27">
      <c r="A114" s="21"/>
      <c r="B114" s="21"/>
      <c r="C114" s="21"/>
      <c r="D114" s="21"/>
      <c r="E114" s="21"/>
      <c r="F114" s="21"/>
      <c r="G114" s="74"/>
      <c r="H114" s="76"/>
      <c r="I114" s="21"/>
      <c r="J114" s="86"/>
      <c r="K114" s="21"/>
      <c r="L114" s="21"/>
      <c r="M114" s="21"/>
      <c r="N114" s="21"/>
      <c r="U114" s="21"/>
      <c r="V114" s="21"/>
      <c r="W114" s="21"/>
      <c r="X114" s="21"/>
      <c r="Y114" s="21"/>
      <c r="Z114" s="21"/>
      <c r="AA114" s="21"/>
    </row>
    <row r="115" spans="1:27">
      <c r="A115" s="21"/>
      <c r="B115" s="21"/>
      <c r="C115" s="21"/>
      <c r="D115" s="21"/>
      <c r="E115" s="21"/>
      <c r="F115" s="21"/>
      <c r="G115" s="74"/>
      <c r="H115" s="76"/>
      <c r="I115" s="21"/>
      <c r="J115" s="86"/>
      <c r="K115" s="21"/>
      <c r="L115" s="21"/>
      <c r="M115" s="21"/>
      <c r="N115" s="21"/>
      <c r="U115" s="21"/>
      <c r="V115" s="21"/>
      <c r="W115" s="21"/>
      <c r="X115" s="21"/>
      <c r="Y115" s="21"/>
      <c r="Z115" s="21"/>
      <c r="AA115" s="21"/>
    </row>
    <row r="116" spans="1:27">
      <c r="A116" s="21"/>
      <c r="B116" s="21"/>
      <c r="C116" s="21"/>
      <c r="D116" s="21"/>
      <c r="E116" s="21"/>
      <c r="F116" s="21"/>
      <c r="G116" s="74"/>
      <c r="H116" s="76"/>
      <c r="I116" s="21"/>
      <c r="J116" s="86"/>
      <c r="K116" s="21"/>
      <c r="L116" s="21"/>
      <c r="M116" s="21"/>
      <c r="N116" s="21"/>
      <c r="U116" s="21"/>
      <c r="V116" s="21"/>
      <c r="W116" s="21"/>
      <c r="X116" s="21"/>
      <c r="Y116" s="21"/>
      <c r="Z116" s="21"/>
      <c r="AA116" s="21"/>
    </row>
    <row r="117" spans="1:27">
      <c r="A117" s="21"/>
      <c r="B117" s="21"/>
      <c r="C117" s="21"/>
      <c r="D117" s="21"/>
      <c r="E117" s="21"/>
      <c r="F117" s="21"/>
      <c r="G117" s="74"/>
      <c r="H117" s="76"/>
      <c r="I117" s="21"/>
      <c r="J117" s="86"/>
      <c r="K117" s="21"/>
      <c r="L117" s="21"/>
      <c r="M117" s="21"/>
      <c r="N117" s="21"/>
      <c r="U117" s="21"/>
      <c r="V117" s="21"/>
      <c r="W117" s="21"/>
      <c r="X117" s="21"/>
      <c r="Y117" s="21"/>
      <c r="Z117" s="21"/>
      <c r="AA117" s="21"/>
    </row>
    <row r="118" spans="1:27">
      <c r="A118" s="21"/>
      <c r="B118" s="21"/>
      <c r="C118" s="21"/>
      <c r="D118" s="21"/>
      <c r="E118" s="21"/>
      <c r="F118" s="21"/>
      <c r="G118" s="74"/>
      <c r="H118" s="76"/>
      <c r="I118" s="21"/>
      <c r="J118" s="86"/>
      <c r="K118" s="21"/>
      <c r="L118" s="21"/>
      <c r="M118" s="21"/>
      <c r="N118" s="21"/>
      <c r="U118" s="21"/>
      <c r="V118" s="21"/>
      <c r="W118" s="21"/>
      <c r="X118" s="21"/>
      <c r="Y118" s="21"/>
      <c r="Z118" s="21"/>
      <c r="AA118" s="21"/>
    </row>
    <row r="119" spans="1:27">
      <c r="A119" s="21"/>
      <c r="B119" s="21"/>
      <c r="C119" s="21"/>
      <c r="D119" s="21"/>
      <c r="E119" s="21"/>
      <c r="F119" s="21"/>
      <c r="G119" s="74"/>
      <c r="H119" s="76"/>
      <c r="I119" s="21"/>
      <c r="J119" s="86"/>
      <c r="K119" s="21"/>
      <c r="L119" s="21"/>
      <c r="M119" s="21"/>
      <c r="N119" s="21"/>
      <c r="U119" s="21"/>
      <c r="V119" s="21"/>
      <c r="W119" s="21"/>
      <c r="X119" s="21"/>
      <c r="Y119" s="21"/>
      <c r="Z119" s="21"/>
      <c r="AA119" s="21"/>
    </row>
    <row r="120" spans="1:27">
      <c r="A120" s="21"/>
      <c r="B120" s="21"/>
      <c r="C120" s="21"/>
      <c r="D120" s="21"/>
      <c r="E120" s="21"/>
      <c r="F120" s="21"/>
      <c r="G120" s="74"/>
      <c r="H120" s="76"/>
      <c r="I120" s="21"/>
      <c r="J120" s="86"/>
      <c r="K120" s="21"/>
      <c r="L120" s="21"/>
      <c r="M120" s="21"/>
      <c r="N120" s="21"/>
      <c r="U120" s="21"/>
      <c r="V120" s="21"/>
      <c r="W120" s="21"/>
      <c r="X120" s="21"/>
      <c r="Y120" s="21"/>
      <c r="Z120" s="21"/>
      <c r="AA120" s="21"/>
    </row>
    <row r="121" spans="1:27">
      <c r="A121" s="21"/>
      <c r="B121" s="21"/>
      <c r="C121" s="21"/>
      <c r="D121" s="21"/>
      <c r="E121" s="21"/>
      <c r="F121" s="21"/>
      <c r="G121" s="74"/>
      <c r="H121" s="76"/>
      <c r="I121" s="21"/>
      <c r="J121" s="86"/>
      <c r="K121" s="21"/>
      <c r="L121" s="21"/>
      <c r="M121" s="21"/>
      <c r="N121" s="21"/>
      <c r="U121" s="21"/>
      <c r="V121" s="21"/>
      <c r="W121" s="21"/>
      <c r="X121" s="21"/>
      <c r="Y121" s="21"/>
      <c r="Z121" s="21"/>
      <c r="AA121" s="21"/>
    </row>
    <row r="122" spans="1:27">
      <c r="A122" s="21"/>
      <c r="B122" s="21"/>
      <c r="C122" s="21"/>
      <c r="D122" s="21"/>
      <c r="E122" s="21"/>
      <c r="F122" s="21"/>
      <c r="G122" s="74"/>
      <c r="H122" s="76"/>
      <c r="I122" s="21"/>
      <c r="J122" s="86"/>
      <c r="K122" s="21"/>
      <c r="L122" s="21"/>
      <c r="M122" s="21"/>
      <c r="N122" s="21"/>
      <c r="U122" s="21"/>
      <c r="V122" s="21"/>
      <c r="W122" s="21"/>
      <c r="X122" s="21"/>
      <c r="Y122" s="21"/>
      <c r="Z122" s="21"/>
      <c r="AA122" s="21"/>
    </row>
    <row r="123" spans="1:27">
      <c r="A123" s="21"/>
      <c r="B123" s="21"/>
      <c r="C123" s="21"/>
      <c r="D123" s="21"/>
      <c r="E123" s="21"/>
      <c r="F123" s="21"/>
      <c r="G123" s="74"/>
      <c r="H123" s="76"/>
      <c r="I123" s="21"/>
      <c r="J123" s="86"/>
      <c r="K123" s="21"/>
      <c r="L123" s="21"/>
      <c r="M123" s="21"/>
      <c r="N123" s="21"/>
      <c r="U123" s="21"/>
      <c r="V123" s="21"/>
      <c r="W123" s="21"/>
      <c r="X123" s="21"/>
      <c r="Y123" s="21"/>
      <c r="Z123" s="21"/>
      <c r="AA123" s="21"/>
    </row>
    <row r="124" spans="1:27">
      <c r="A124" s="21"/>
      <c r="B124" s="21"/>
      <c r="C124" s="21"/>
      <c r="D124" s="21"/>
      <c r="E124" s="21"/>
      <c r="F124" s="21"/>
      <c r="G124" s="74"/>
      <c r="H124" s="76"/>
      <c r="I124" s="21"/>
      <c r="J124" s="86"/>
      <c r="K124" s="21"/>
      <c r="L124" s="21"/>
      <c r="M124" s="21"/>
      <c r="N124" s="21"/>
      <c r="U124" s="21"/>
      <c r="V124" s="21"/>
      <c r="W124" s="21"/>
      <c r="X124" s="21"/>
      <c r="Y124" s="21"/>
      <c r="Z124" s="21"/>
      <c r="AA124" s="21"/>
    </row>
    <row r="125" spans="1:27">
      <c r="A125" s="21"/>
      <c r="B125" s="21"/>
      <c r="C125" s="21"/>
      <c r="D125" s="21"/>
      <c r="E125" s="21"/>
      <c r="F125" s="21"/>
      <c r="G125" s="74"/>
      <c r="H125" s="76"/>
      <c r="I125" s="21"/>
      <c r="J125" s="86"/>
      <c r="K125" s="21"/>
      <c r="L125" s="21"/>
      <c r="M125" s="21"/>
      <c r="N125" s="21"/>
      <c r="U125" s="21"/>
      <c r="V125" s="21"/>
      <c r="W125" s="21"/>
      <c r="X125" s="21"/>
      <c r="Y125" s="21"/>
      <c r="Z125" s="21"/>
      <c r="AA125" s="21"/>
    </row>
    <row r="126" spans="1:27">
      <c r="A126" s="21"/>
      <c r="B126" s="21"/>
      <c r="C126" s="21"/>
      <c r="D126" s="21"/>
      <c r="E126" s="21"/>
      <c r="F126" s="21"/>
      <c r="G126" s="74"/>
      <c r="H126" s="76"/>
      <c r="I126" s="21"/>
      <c r="J126" s="86"/>
      <c r="K126" s="21"/>
      <c r="L126" s="21"/>
      <c r="M126" s="21"/>
      <c r="N126" s="21"/>
      <c r="U126" s="21"/>
      <c r="V126" s="21"/>
      <c r="W126" s="21"/>
      <c r="X126" s="21"/>
      <c r="Y126" s="21"/>
      <c r="Z126" s="21"/>
      <c r="AA126" s="21"/>
    </row>
    <row r="127" spans="1:27">
      <c r="A127" s="21"/>
      <c r="B127" s="21"/>
      <c r="C127" s="21"/>
      <c r="D127" s="21"/>
      <c r="E127" s="21"/>
      <c r="F127" s="21"/>
      <c r="G127" s="74"/>
      <c r="H127" s="76"/>
      <c r="I127" s="21"/>
      <c r="J127" s="86"/>
      <c r="K127" s="21"/>
      <c r="L127" s="21"/>
      <c r="M127" s="21"/>
      <c r="N127" s="21"/>
      <c r="U127" s="21"/>
      <c r="V127" s="21"/>
      <c r="W127" s="21"/>
      <c r="X127" s="21"/>
      <c r="Y127" s="21"/>
      <c r="Z127" s="21"/>
      <c r="AA127" s="21"/>
    </row>
    <row r="128" spans="1:27">
      <c r="A128" s="21"/>
      <c r="B128" s="21"/>
      <c r="C128" s="21"/>
      <c r="D128" s="21"/>
      <c r="E128" s="21"/>
      <c r="F128" s="21"/>
      <c r="G128" s="74"/>
      <c r="H128" s="76"/>
      <c r="I128" s="21"/>
      <c r="J128" s="86"/>
      <c r="K128" s="21"/>
      <c r="L128" s="21"/>
      <c r="M128" s="21"/>
      <c r="N128" s="21"/>
      <c r="U128" s="21"/>
      <c r="V128" s="21"/>
      <c r="W128" s="21"/>
      <c r="X128" s="21"/>
      <c r="Y128" s="21"/>
      <c r="Z128" s="21"/>
      <c r="AA128" s="21"/>
    </row>
    <row r="129" spans="1:27">
      <c r="A129" s="21"/>
      <c r="B129" s="21"/>
      <c r="C129" s="21"/>
      <c r="D129" s="21"/>
      <c r="E129" s="21"/>
      <c r="F129" s="21"/>
      <c r="G129" s="74"/>
      <c r="H129" s="76"/>
      <c r="I129" s="21"/>
      <c r="J129" s="86"/>
      <c r="K129" s="21"/>
      <c r="L129" s="21"/>
      <c r="M129" s="21"/>
      <c r="N129" s="21"/>
      <c r="U129" s="21"/>
      <c r="V129" s="21"/>
      <c r="W129" s="21"/>
      <c r="X129" s="21"/>
      <c r="Y129" s="21"/>
      <c r="Z129" s="21"/>
      <c r="AA129" s="21"/>
    </row>
    <row r="130" spans="1:27">
      <c r="A130" s="21"/>
      <c r="B130" s="21"/>
      <c r="C130" s="21"/>
      <c r="D130" s="21"/>
      <c r="E130" s="21"/>
      <c r="F130" s="21"/>
      <c r="G130" s="74"/>
      <c r="H130" s="76"/>
      <c r="I130" s="21"/>
      <c r="J130" s="86"/>
      <c r="K130" s="21"/>
      <c r="L130" s="21"/>
      <c r="M130" s="21"/>
      <c r="N130" s="21"/>
      <c r="U130" s="21"/>
      <c r="V130" s="21"/>
      <c r="W130" s="21"/>
      <c r="X130" s="21"/>
      <c r="Y130" s="21"/>
      <c r="Z130" s="21"/>
      <c r="AA130" s="21"/>
    </row>
    <row r="131" spans="1:27">
      <c r="A131" s="21"/>
      <c r="B131" s="21"/>
      <c r="C131" s="21"/>
      <c r="D131" s="21"/>
      <c r="E131" s="21"/>
      <c r="F131" s="21"/>
      <c r="G131" s="74"/>
      <c r="H131" s="76"/>
      <c r="I131" s="21"/>
      <c r="J131" s="86"/>
      <c r="K131" s="21"/>
      <c r="L131" s="21"/>
      <c r="M131" s="21"/>
      <c r="N131" s="21"/>
      <c r="U131" s="21"/>
      <c r="V131" s="21"/>
      <c r="W131" s="21"/>
      <c r="X131" s="21"/>
      <c r="Y131" s="21"/>
      <c r="Z131" s="21"/>
      <c r="AA131" s="21"/>
    </row>
    <row r="132" spans="1:27">
      <c r="A132" s="21"/>
      <c r="B132" s="21"/>
      <c r="C132" s="21"/>
      <c r="D132" s="21"/>
      <c r="E132" s="21"/>
      <c r="F132" s="21"/>
      <c r="G132" s="74"/>
      <c r="H132" s="76"/>
      <c r="I132" s="21"/>
      <c r="J132" s="86"/>
      <c r="K132" s="21"/>
      <c r="L132" s="21"/>
      <c r="M132" s="21"/>
      <c r="N132" s="21"/>
      <c r="U132" s="21"/>
      <c r="V132" s="21"/>
      <c r="W132" s="21"/>
      <c r="X132" s="21"/>
      <c r="Y132" s="21"/>
      <c r="Z132" s="21"/>
      <c r="AA132" s="21"/>
    </row>
    <row r="133" spans="1:27">
      <c r="A133" s="21"/>
      <c r="B133" s="21"/>
      <c r="C133" s="21"/>
      <c r="D133" s="21"/>
      <c r="E133" s="21"/>
      <c r="F133" s="21"/>
      <c r="G133" s="74"/>
      <c r="H133" s="76"/>
      <c r="I133" s="21"/>
      <c r="J133" s="86"/>
      <c r="K133" s="21"/>
      <c r="L133" s="21"/>
      <c r="M133" s="21"/>
      <c r="N133" s="21"/>
      <c r="U133" s="21"/>
      <c r="V133" s="21"/>
      <c r="W133" s="21"/>
      <c r="X133" s="21"/>
      <c r="Y133" s="21"/>
      <c r="Z133" s="21"/>
      <c r="AA133" s="21"/>
    </row>
    <row r="134" spans="1:27">
      <c r="A134" s="21"/>
      <c r="B134" s="21"/>
      <c r="C134" s="21"/>
      <c r="D134" s="21"/>
      <c r="E134" s="21"/>
      <c r="F134" s="21"/>
      <c r="G134" s="74"/>
      <c r="H134" s="76"/>
      <c r="I134" s="21"/>
      <c r="J134" s="86"/>
      <c r="K134" s="21"/>
      <c r="L134" s="21"/>
      <c r="M134" s="21"/>
      <c r="N134" s="21"/>
      <c r="U134" s="21"/>
      <c r="V134" s="21"/>
      <c r="W134" s="21"/>
      <c r="X134" s="21"/>
      <c r="Y134" s="21"/>
      <c r="Z134" s="21"/>
      <c r="AA134" s="21"/>
    </row>
    <row r="135" spans="1:27">
      <c r="A135" s="21"/>
      <c r="B135" s="21"/>
      <c r="C135" s="21"/>
      <c r="D135" s="21"/>
      <c r="E135" s="21"/>
      <c r="F135" s="21"/>
      <c r="G135" s="74"/>
      <c r="H135" s="76"/>
      <c r="I135" s="21"/>
      <c r="J135" s="86"/>
      <c r="K135" s="21"/>
      <c r="L135" s="21"/>
      <c r="M135" s="21"/>
      <c r="N135" s="21"/>
      <c r="U135" s="21"/>
      <c r="V135" s="21"/>
      <c r="W135" s="21"/>
      <c r="X135" s="21"/>
      <c r="Y135" s="21"/>
      <c r="Z135" s="21"/>
      <c r="AA135" s="21"/>
    </row>
    <row r="136" spans="1:27">
      <c r="A136" s="21"/>
      <c r="B136" s="21"/>
      <c r="C136" s="21"/>
      <c r="D136" s="21"/>
      <c r="E136" s="21"/>
      <c r="F136" s="21"/>
      <c r="G136" s="74"/>
      <c r="H136" s="76"/>
      <c r="I136" s="21"/>
      <c r="J136" s="86"/>
      <c r="K136" s="21"/>
      <c r="L136" s="21"/>
      <c r="M136" s="21"/>
      <c r="N136" s="21"/>
      <c r="U136" s="21"/>
      <c r="V136" s="21"/>
      <c r="W136" s="21"/>
      <c r="X136" s="21"/>
      <c r="Y136" s="21"/>
      <c r="Z136" s="21"/>
      <c r="AA136" s="21"/>
    </row>
    <row r="137" spans="1:27">
      <c r="A137" s="21"/>
      <c r="B137" s="21"/>
      <c r="C137" s="21"/>
      <c r="D137" s="21"/>
      <c r="E137" s="21"/>
      <c r="F137" s="21"/>
      <c r="G137" s="74"/>
      <c r="H137" s="76"/>
      <c r="I137" s="21"/>
      <c r="J137" s="86"/>
      <c r="K137" s="21"/>
      <c r="L137" s="21"/>
      <c r="M137" s="21"/>
      <c r="N137" s="21"/>
      <c r="U137" s="21"/>
      <c r="V137" s="21"/>
      <c r="W137" s="21"/>
      <c r="X137" s="21"/>
      <c r="Y137" s="21"/>
      <c r="Z137" s="21"/>
      <c r="AA137" s="21"/>
    </row>
    <row r="138" spans="1:27">
      <c r="A138" s="21"/>
      <c r="B138" s="21"/>
      <c r="C138" s="21"/>
      <c r="D138" s="21"/>
      <c r="E138" s="21"/>
      <c r="F138" s="21"/>
      <c r="G138" s="74"/>
      <c r="H138" s="76"/>
      <c r="I138" s="21"/>
      <c r="J138" s="86"/>
      <c r="K138" s="21"/>
      <c r="L138" s="21"/>
      <c r="M138" s="21"/>
      <c r="N138" s="21"/>
      <c r="U138" s="21"/>
      <c r="V138" s="21"/>
      <c r="W138" s="21"/>
      <c r="X138" s="21"/>
      <c r="Y138" s="21"/>
      <c r="Z138" s="21"/>
      <c r="AA138" s="21"/>
    </row>
  </sheetData>
  <sheetCalcPr fullCalcOnLoad="1"/>
  <phoneticPr fontId="3" type="noConversion"/>
  <pageMargins left="0.75" right="0.75" top="1" bottom="1" header="0.5" footer="0.5"/>
  <pageSetup paperSize="9" scale="87" orientation="portrait" horizontalDpi="4294967294" verticalDpi="0" r:id="rId1"/>
  <headerFooter alignWithMargins="0"/>
  <colBreaks count="1" manualBreakCount="1">
    <brk id="14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10"/>
  <dimension ref="A1:AI305"/>
  <sheetViews>
    <sheetView showGridLines="0" tabSelected="1" topLeftCell="F1" zoomScaleNormal="100" zoomScaleSheetLayoutView="100" workbookViewId="0">
      <selection activeCell="G2" sqref="G2"/>
    </sheetView>
  </sheetViews>
  <sheetFormatPr defaultRowHeight="12.75"/>
  <cols>
    <col min="1" max="1" width="19.140625" style="84" customWidth="1"/>
    <col min="5" max="5" width="18.7109375" bestFit="1" customWidth="1"/>
    <col min="6" max="6" width="30.28515625" customWidth="1"/>
    <col min="7" max="7" width="11.42578125" style="75" bestFit="1" customWidth="1"/>
    <col min="8" max="8" width="14" style="77" bestFit="1" customWidth="1"/>
    <col min="10" max="10" width="36.42578125" style="87" customWidth="1"/>
    <col min="11" max="11" width="9.140625" style="32" hidden="1" customWidth="1"/>
    <col min="12" max="12" width="18.7109375" style="32" hidden="1" customWidth="1"/>
    <col min="13" max="14" width="9.140625" style="32" hidden="1" customWidth="1"/>
    <col min="15" max="15" width="4.5703125" style="32" bestFit="1" customWidth="1"/>
    <col min="16" max="16" width="5" style="32" bestFit="1" customWidth="1"/>
    <col min="17" max="17" width="6.5703125" style="32" bestFit="1" customWidth="1"/>
    <col min="18" max="18" width="5.28515625" style="32" bestFit="1" customWidth="1"/>
    <col min="19" max="19" width="6.5703125" style="32" bestFit="1" customWidth="1"/>
    <col min="21" max="21" width="19.85546875" hidden="1" customWidth="1"/>
  </cols>
  <sheetData>
    <row r="1" spans="1:35" ht="19.5" thickTop="1" thickBot="1">
      <c r="G1" s="57" t="s">
        <v>15</v>
      </c>
      <c r="H1" s="67" t="s">
        <v>17</v>
      </c>
      <c r="I1" s="58"/>
      <c r="J1" s="89" t="s">
        <v>14</v>
      </c>
      <c r="K1" s="31"/>
      <c r="L1" s="31"/>
      <c r="M1" s="31"/>
      <c r="N1" s="31"/>
      <c r="O1" s="78"/>
      <c r="P1" s="78"/>
      <c r="Q1" s="78"/>
      <c r="R1" s="78"/>
      <c r="S1" s="78"/>
      <c r="T1" s="9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ht="17.25" thickTop="1" thickBot="1">
      <c r="A2" s="84" t="s">
        <v>23</v>
      </c>
      <c r="B2">
        <f>wyniki!O13</f>
        <v>1016</v>
      </c>
      <c r="C2">
        <v>1.0000000000000001E-5</v>
      </c>
      <c r="D2">
        <f>B2+C2</f>
        <v>1016.00001</v>
      </c>
      <c r="E2" t="str">
        <f>wyniki!A7</f>
        <v>SP8 Siedlce</v>
      </c>
      <c r="G2" s="37">
        <v>1</v>
      </c>
      <c r="H2" s="69">
        <f>LARGE($D$2:$D$41,1)</f>
        <v>1127.0000299999999</v>
      </c>
      <c r="I2" s="68">
        <f>MATCH(H2,$D$2:$D$41,0)</f>
        <v>3</v>
      </c>
      <c r="J2" s="90" t="str">
        <f>INDEX($D$2:$E$41,I2,2)</f>
        <v>SP4 Pruszków</v>
      </c>
      <c r="K2" s="31"/>
      <c r="L2" s="31">
        <v>0</v>
      </c>
      <c r="M2" s="31">
        <f>MATCH(L2,wyniki!$A:$A,0)+1</f>
        <v>99</v>
      </c>
      <c r="N2" s="31">
        <v>8</v>
      </c>
      <c r="O2" s="120"/>
      <c r="P2" s="120"/>
      <c r="Q2" s="120"/>
      <c r="R2" s="120"/>
      <c r="S2" s="120"/>
      <c r="T2" s="9"/>
      <c r="U2" s="21">
        <f>INDEX(nazwy_wojewodztw!$A$1:$A$40,I2,1)</f>
        <v>0</v>
      </c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5" ht="17.25" thickTop="1" thickBot="1">
      <c r="A3" s="84" t="s">
        <v>23</v>
      </c>
      <c r="B3">
        <f>wyniki!O20</f>
        <v>812</v>
      </c>
      <c r="C3">
        <v>2.0000000000000002E-5</v>
      </c>
      <c r="D3">
        <f t="shared" ref="D3:D41" si="0">B3+C3</f>
        <v>812.00001999999995</v>
      </c>
      <c r="E3" t="str">
        <f>wyniki!A14</f>
        <v>PSP24 Radom</v>
      </c>
      <c r="G3" s="37">
        <v>2</v>
      </c>
      <c r="H3" s="69">
        <f>LARGE($D$2:$D$41,2)</f>
        <v>1121.00009</v>
      </c>
      <c r="I3" s="68">
        <f t="shared" ref="I3:I41" si="1">MATCH(H3,$D$2:$D$41,0)</f>
        <v>9</v>
      </c>
      <c r="J3" s="90" t="str">
        <f t="shared" ref="J3:J41" si="2">INDEX($D$2:$E$41,I3,2)</f>
        <v>SP154 Warszawa</v>
      </c>
      <c r="K3" s="31"/>
      <c r="L3" s="31">
        <v>0</v>
      </c>
      <c r="M3" s="31">
        <f>MATCH(L3,wyniki!$A:$A,0)+1</f>
        <v>99</v>
      </c>
      <c r="N3" s="31">
        <v>8</v>
      </c>
      <c r="O3" s="120"/>
      <c r="P3" s="120"/>
      <c r="Q3" s="120"/>
      <c r="R3" s="120"/>
      <c r="S3" s="120"/>
      <c r="T3" s="9"/>
      <c r="U3" s="21">
        <f>INDEX(nazwy_wojewodztw!$A$1:$A$40,I3,1)</f>
        <v>0</v>
      </c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5" ht="17.25" thickTop="1" thickBot="1">
      <c r="A4" s="84" t="s">
        <v>24</v>
      </c>
      <c r="B4">
        <f>wyniki!O27</f>
        <v>1127</v>
      </c>
      <c r="C4">
        <v>3.0000000000000001E-5</v>
      </c>
      <c r="D4">
        <f t="shared" si="0"/>
        <v>1127.0000299999999</v>
      </c>
      <c r="E4" t="str">
        <f>wyniki!A21</f>
        <v>SP4 Pruszków</v>
      </c>
      <c r="G4" s="37">
        <v>3</v>
      </c>
      <c r="H4" s="69">
        <f>LARGE($D$2:$D$41,3)</f>
        <v>1082.0000500000001</v>
      </c>
      <c r="I4" s="68">
        <f t="shared" si="1"/>
        <v>5</v>
      </c>
      <c r="J4" s="90" t="str">
        <f t="shared" si="2"/>
        <v>SP9 Siedlce</v>
      </c>
      <c r="K4" s="31"/>
      <c r="L4" s="31">
        <v>0</v>
      </c>
      <c r="M4" s="31">
        <f>MATCH(L4,wyniki!$A:$A,0)+1</f>
        <v>99</v>
      </c>
      <c r="N4" s="31">
        <v>8</v>
      </c>
      <c r="O4" s="120"/>
      <c r="P4" s="120"/>
      <c r="Q4" s="120"/>
      <c r="R4" s="120"/>
      <c r="S4" s="120"/>
      <c r="T4" s="9"/>
      <c r="U4" s="21">
        <f>INDEX(nazwy_wojewodztw!$A$1:$A$40,I4,1)</f>
        <v>0</v>
      </c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ht="17.25" thickTop="1" thickBot="1">
      <c r="A5" s="84" t="s">
        <v>25</v>
      </c>
      <c r="B5">
        <f>wyniki!O34</f>
        <v>847</v>
      </c>
      <c r="C5">
        <v>4.0000000000000003E-5</v>
      </c>
      <c r="D5">
        <f t="shared" si="0"/>
        <v>847.00004000000001</v>
      </c>
      <c r="E5" t="str">
        <f>wyniki!A28</f>
        <v>SP2 Szydłowiec</v>
      </c>
      <c r="G5" s="37">
        <v>4</v>
      </c>
      <c r="H5" s="69">
        <f>LARGE($D$2:$D$41,4)</f>
        <v>1079.0000700000001</v>
      </c>
      <c r="I5" s="68">
        <f t="shared" si="1"/>
        <v>7</v>
      </c>
      <c r="J5" s="90" t="str">
        <f t="shared" si="2"/>
        <v>SP204 Warszawa</v>
      </c>
      <c r="K5" s="31"/>
      <c r="L5" s="31">
        <v>0</v>
      </c>
      <c r="M5" s="31">
        <f>MATCH(L5,wyniki!$A:$A,0)+1</f>
        <v>99</v>
      </c>
      <c r="N5" s="31">
        <v>8</v>
      </c>
      <c r="O5" s="120"/>
      <c r="P5" s="120"/>
      <c r="Q5" s="120"/>
      <c r="R5" s="120"/>
      <c r="S5" s="120"/>
      <c r="T5" s="9"/>
      <c r="U5" s="21">
        <f>INDEX(nazwy_wojewodztw!$A$1:$A$40,I5,1)</f>
        <v>0</v>
      </c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ht="17.25" thickTop="1" thickBot="1">
      <c r="A6" s="84" t="s">
        <v>26</v>
      </c>
      <c r="B6">
        <f>wyniki!O41</f>
        <v>1082</v>
      </c>
      <c r="C6">
        <v>5.0000000000000002E-5</v>
      </c>
      <c r="D6">
        <f t="shared" si="0"/>
        <v>1082.0000500000001</v>
      </c>
      <c r="E6" t="str">
        <f>wyniki!A35</f>
        <v>SP9 Siedlce</v>
      </c>
      <c r="G6" s="37">
        <v>5</v>
      </c>
      <c r="H6" s="69">
        <f>LARGE($D$2:$D$41,5)</f>
        <v>1054.00008</v>
      </c>
      <c r="I6" s="68">
        <f t="shared" si="1"/>
        <v>8</v>
      </c>
      <c r="J6" s="90" t="str">
        <f t="shared" si="2"/>
        <v>SP Zielonki Parcela</v>
      </c>
      <c r="K6" s="31"/>
      <c r="L6" s="31">
        <v>0</v>
      </c>
      <c r="M6" s="31">
        <f>MATCH(L6,wyniki!$A:$A,0)+1</f>
        <v>99</v>
      </c>
      <c r="N6" s="31">
        <v>8</v>
      </c>
      <c r="O6" s="120"/>
      <c r="P6" s="120"/>
      <c r="Q6" s="120"/>
      <c r="R6" s="120"/>
      <c r="S6" s="120"/>
      <c r="T6" s="9"/>
      <c r="U6" s="21">
        <f>INDEX(nazwy_wojewodztw!$A$1:$A$40,I6,1)</f>
        <v>0</v>
      </c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ht="17.25" thickTop="1" thickBot="1">
      <c r="A7" s="84" t="s">
        <v>35</v>
      </c>
      <c r="B7">
        <f>wyniki!O48</f>
        <v>963</v>
      </c>
      <c r="C7">
        <v>6.0000000000000002E-5</v>
      </c>
      <c r="D7">
        <f t="shared" si="0"/>
        <v>963.00005999999996</v>
      </c>
      <c r="E7" t="str">
        <f>wyniki!A42</f>
        <v>SP1 Ostrów Maz</v>
      </c>
      <c r="G7" s="37">
        <v>6</v>
      </c>
      <c r="H7" s="69">
        <f>LARGE($D$2:$D$41,6)</f>
        <v>1016.00001</v>
      </c>
      <c r="I7" s="68">
        <f t="shared" si="1"/>
        <v>1</v>
      </c>
      <c r="J7" s="90" t="str">
        <f t="shared" si="2"/>
        <v>SP8 Siedlce</v>
      </c>
      <c r="K7" s="31"/>
      <c r="L7" s="31">
        <v>0</v>
      </c>
      <c r="M7" s="31">
        <f>MATCH(L7,wyniki!$A:$A,0)+1</f>
        <v>99</v>
      </c>
      <c r="N7" s="31">
        <v>8</v>
      </c>
      <c r="O7" s="120"/>
      <c r="P7" s="120"/>
      <c r="Q7" s="120"/>
      <c r="R7" s="120"/>
      <c r="S7" s="120"/>
      <c r="T7" s="9"/>
      <c r="U7" s="21">
        <f>INDEX(nazwy_wojewodztw!$A$1:$A$40,I7,1)</f>
        <v>0</v>
      </c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5" ht="17.25" thickTop="1" thickBot="1">
      <c r="A8" s="84" t="s">
        <v>35</v>
      </c>
      <c r="B8">
        <f>wyniki!O55</f>
        <v>1079</v>
      </c>
      <c r="C8">
        <v>6.9999999999999994E-5</v>
      </c>
      <c r="D8">
        <f t="shared" si="0"/>
        <v>1079.0000700000001</v>
      </c>
      <c r="E8" t="str">
        <f>wyniki!A49</f>
        <v>SP204 Warszawa</v>
      </c>
      <c r="G8" s="37">
        <v>7</v>
      </c>
      <c r="H8" s="69">
        <f>LARGE($D$2:$D$41,7)</f>
        <v>1009.0001099999999</v>
      </c>
      <c r="I8" s="68">
        <f t="shared" si="1"/>
        <v>11</v>
      </c>
      <c r="J8" s="90" t="str">
        <f t="shared" si="2"/>
        <v>SP2 Zielonka</v>
      </c>
      <c r="K8" s="31"/>
      <c r="L8" s="31">
        <v>0</v>
      </c>
      <c r="M8" s="31">
        <f>MATCH(L8,wyniki!$A:$A,0)+1</f>
        <v>99</v>
      </c>
      <c r="N8" s="31">
        <v>8</v>
      </c>
      <c r="O8" s="120"/>
      <c r="P8" s="120"/>
      <c r="Q8" s="120"/>
      <c r="R8" s="120"/>
      <c r="S8" s="120"/>
      <c r="T8" s="9"/>
      <c r="U8" s="21">
        <f>INDEX(nazwy_wojewodztw!$A$1:$A$40,I8,1)</f>
        <v>0</v>
      </c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17.25" thickTop="1" thickBot="1">
      <c r="A9" s="84" t="s">
        <v>24</v>
      </c>
      <c r="B9">
        <f>wyniki!O62</f>
        <v>1054</v>
      </c>
      <c r="C9">
        <v>8.0000000000000007E-5</v>
      </c>
      <c r="D9">
        <f t="shared" si="0"/>
        <v>1054.00008</v>
      </c>
      <c r="E9" t="str">
        <f>wyniki!A56</f>
        <v>SP Zielonki Parcela</v>
      </c>
      <c r="G9" s="37">
        <v>8</v>
      </c>
      <c r="H9" s="69">
        <f>LARGE($D$2:$D$41,8)</f>
        <v>963.00005999999996</v>
      </c>
      <c r="I9" s="68">
        <f t="shared" si="1"/>
        <v>6</v>
      </c>
      <c r="J9" s="90" t="str">
        <f t="shared" si="2"/>
        <v>SP1 Ostrów Maz</v>
      </c>
      <c r="K9" s="31"/>
      <c r="L9" s="31">
        <v>0</v>
      </c>
      <c r="M9" s="31">
        <f>MATCH(L9,wyniki!$A:$A,0)+1</f>
        <v>99</v>
      </c>
      <c r="N9" s="31">
        <v>8</v>
      </c>
      <c r="O9" s="120"/>
      <c r="P9" s="120"/>
      <c r="Q9" s="120"/>
      <c r="R9" s="120"/>
      <c r="S9" s="120"/>
      <c r="T9" s="9"/>
      <c r="U9" s="21">
        <f>INDEX(nazwy_wojewodztw!$A$1:$A$40,I9,1)</f>
        <v>0</v>
      </c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17.25" thickTop="1" thickBot="1">
      <c r="A10" s="84" t="s">
        <v>26</v>
      </c>
      <c r="B10">
        <f>wyniki!O69</f>
        <v>1121</v>
      </c>
      <c r="C10">
        <v>9.0000000000000006E-5</v>
      </c>
      <c r="D10">
        <f t="shared" si="0"/>
        <v>1121.00009</v>
      </c>
      <c r="E10" t="str">
        <f>wyniki!A63</f>
        <v>SP154 Warszawa</v>
      </c>
      <c r="G10" s="37">
        <v>9</v>
      </c>
      <c r="H10" s="69">
        <f>LARGE($D$2:$D$41,9)</f>
        <v>899.00013000000001</v>
      </c>
      <c r="I10" s="68">
        <f t="shared" si="1"/>
        <v>13</v>
      </c>
      <c r="J10" s="90" t="str">
        <f t="shared" si="2"/>
        <v>SP18 Płock</v>
      </c>
      <c r="K10" s="31"/>
      <c r="L10" s="31">
        <v>0</v>
      </c>
      <c r="M10" s="31">
        <f>MATCH(L10,wyniki!$A:$A,0)+1</f>
        <v>99</v>
      </c>
      <c r="N10" s="31">
        <v>8</v>
      </c>
      <c r="O10" s="120"/>
      <c r="P10" s="120"/>
      <c r="Q10" s="120"/>
      <c r="R10" s="120"/>
      <c r="S10" s="120"/>
      <c r="T10" s="9"/>
      <c r="U10" s="21">
        <f>INDEX(nazwy_wojewodztw!$A$1:$A$40,I10,1)</f>
        <v>0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17.25" thickTop="1" thickBot="1">
      <c r="A11" s="84" t="s">
        <v>27</v>
      </c>
      <c r="B11">
        <f>wyniki!O76</f>
        <v>828</v>
      </c>
      <c r="C11">
        <v>1E-4</v>
      </c>
      <c r="D11">
        <f t="shared" si="0"/>
        <v>828.00009999999997</v>
      </c>
      <c r="E11" t="str">
        <f>wyniki!A70</f>
        <v xml:space="preserve">SP Jednorożec </v>
      </c>
      <c r="G11" s="37">
        <v>10</v>
      </c>
      <c r="H11" s="69">
        <f>LARGE($D$2:$D$41,10)</f>
        <v>879.00012000000004</v>
      </c>
      <c r="I11" s="68">
        <f t="shared" si="1"/>
        <v>12</v>
      </c>
      <c r="J11" s="90" t="str">
        <f t="shared" si="2"/>
        <v>SP2 Mława</v>
      </c>
      <c r="K11" s="31"/>
      <c r="L11" s="31">
        <v>0</v>
      </c>
      <c r="M11" s="31">
        <f>MATCH(L11,wyniki!$A:$A,0)+1</f>
        <v>99</v>
      </c>
      <c r="N11" s="31">
        <v>8</v>
      </c>
      <c r="O11" s="120"/>
      <c r="P11" s="120"/>
      <c r="Q11" s="120"/>
      <c r="R11" s="120"/>
      <c r="S11" s="120"/>
      <c r="T11" s="9"/>
      <c r="U11" s="21">
        <f>INDEX(nazwy_wojewodztw!$A$1:$A$40,I11,1)</f>
        <v>0</v>
      </c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17.25" thickTop="1" thickBot="1">
      <c r="A12" s="84" t="s">
        <v>36</v>
      </c>
      <c r="B12">
        <f>wyniki!O83</f>
        <v>1009</v>
      </c>
      <c r="C12">
        <v>1.1E-4</v>
      </c>
      <c r="D12">
        <f t="shared" si="0"/>
        <v>1009.0001099999999</v>
      </c>
      <c r="E12" t="str">
        <f>wyniki!A77</f>
        <v>SP2 Zielonka</v>
      </c>
      <c r="G12" s="37">
        <v>11</v>
      </c>
      <c r="H12" s="69">
        <f>LARGE($D$2:$D$41,11)</f>
        <v>847.00004000000001</v>
      </c>
      <c r="I12" s="68">
        <f t="shared" si="1"/>
        <v>4</v>
      </c>
      <c r="J12" s="90" t="str">
        <f t="shared" si="2"/>
        <v>SP2 Szydłowiec</v>
      </c>
      <c r="K12" s="31"/>
      <c r="L12" s="31">
        <v>0</v>
      </c>
      <c r="M12" s="31">
        <f>MATCH(L12,wyniki!$A:$A,0)+1</f>
        <v>99</v>
      </c>
      <c r="N12" s="31">
        <v>8</v>
      </c>
      <c r="O12" s="120"/>
      <c r="P12" s="120"/>
      <c r="Q12" s="120"/>
      <c r="R12" s="120"/>
      <c r="S12" s="120"/>
      <c r="T12" s="9"/>
      <c r="U12" s="21">
        <f>INDEX(nazwy_wojewodztw!$A$1:$A$40,I12,1)</f>
        <v>0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ht="17.25" thickTop="1" thickBot="1">
      <c r="A13" s="84" t="s">
        <v>36</v>
      </c>
      <c r="B13">
        <f>wyniki!O90</f>
        <v>879</v>
      </c>
      <c r="C13">
        <v>1.2E-4</v>
      </c>
      <c r="D13">
        <f t="shared" si="0"/>
        <v>879.00012000000004</v>
      </c>
      <c r="E13" t="str">
        <f>wyniki!A84</f>
        <v>SP2 Mława</v>
      </c>
      <c r="G13" s="37">
        <v>12</v>
      </c>
      <c r="H13" s="69">
        <f>LARGE($D$2:$D$41,12)</f>
        <v>828.00009999999997</v>
      </c>
      <c r="I13" s="68">
        <f t="shared" si="1"/>
        <v>10</v>
      </c>
      <c r="J13" s="90" t="str">
        <f t="shared" si="2"/>
        <v xml:space="preserve">SP Jednorożec </v>
      </c>
      <c r="K13" s="31"/>
      <c r="L13" s="31">
        <v>0</v>
      </c>
      <c r="M13" s="31">
        <f>MATCH(L13,wyniki!$A:$A,0)+1</f>
        <v>99</v>
      </c>
      <c r="N13" s="31">
        <v>8</v>
      </c>
      <c r="O13" s="120"/>
      <c r="P13" s="120"/>
      <c r="Q13" s="120"/>
      <c r="R13" s="120"/>
      <c r="S13" s="120"/>
      <c r="T13" s="9"/>
      <c r="U13" s="21">
        <f>INDEX(nazwy_wojewodztw!$A$1:$A$40,I13,1)</f>
        <v>0</v>
      </c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17.25" thickTop="1" thickBot="1">
      <c r="A14" s="84" t="s">
        <v>25</v>
      </c>
      <c r="B14">
        <f>wyniki!O97</f>
        <v>899</v>
      </c>
      <c r="C14">
        <v>1.2999999999999999E-4</v>
      </c>
      <c r="D14">
        <f t="shared" si="0"/>
        <v>899.00013000000001</v>
      </c>
      <c r="E14" t="str">
        <f>wyniki!A91</f>
        <v>SP18 Płock</v>
      </c>
      <c r="G14" s="37">
        <v>13</v>
      </c>
      <c r="H14" s="69">
        <f>LARGE($D$2:$D$41,13)</f>
        <v>812.00001999999995</v>
      </c>
      <c r="I14" s="68">
        <f t="shared" si="1"/>
        <v>2</v>
      </c>
      <c r="J14" s="90" t="str">
        <f t="shared" si="2"/>
        <v>PSP24 Radom</v>
      </c>
      <c r="K14" s="31"/>
      <c r="L14" s="31">
        <v>0</v>
      </c>
      <c r="M14" s="31">
        <f>MATCH(L14,wyniki!$A:$A,0)+1</f>
        <v>99</v>
      </c>
      <c r="N14" s="31">
        <v>8</v>
      </c>
      <c r="O14" s="120"/>
      <c r="P14" s="120"/>
      <c r="Q14" s="120"/>
      <c r="R14" s="120"/>
      <c r="S14" s="120"/>
      <c r="T14" s="9"/>
      <c r="U14" s="21">
        <f>INDEX(nazwy_wojewodztw!$A$1:$A$40,I14,1)</f>
        <v>0</v>
      </c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ht="17.25" thickTop="1" thickBot="1">
      <c r="A15" s="84" t="s">
        <v>28</v>
      </c>
      <c r="B15">
        <f>wyniki!O104</f>
        <v>0</v>
      </c>
      <c r="C15">
        <v>1.3999999999999999E-4</v>
      </c>
      <c r="D15">
        <f t="shared" si="0"/>
        <v>1.3999999999999999E-4</v>
      </c>
      <c r="E15">
        <f>wyniki!A98</f>
        <v>0</v>
      </c>
      <c r="G15" s="37">
        <v>14</v>
      </c>
      <c r="H15" s="69">
        <f>LARGE($D$2:$D$41,14)</f>
        <v>4.0000000000000002E-4</v>
      </c>
      <c r="I15" s="68">
        <f t="shared" si="1"/>
        <v>40</v>
      </c>
      <c r="J15" s="90">
        <f t="shared" si="2"/>
        <v>0</v>
      </c>
      <c r="K15" s="31"/>
      <c r="L15" s="31">
        <v>0</v>
      </c>
      <c r="M15" s="31">
        <f>MATCH(L15,wyniki!$A:$A,0)+1</f>
        <v>99</v>
      </c>
      <c r="N15" s="31">
        <v>8</v>
      </c>
      <c r="O15" s="120"/>
      <c r="P15" s="120"/>
      <c r="Q15" s="120"/>
      <c r="R15" s="120"/>
      <c r="S15" s="120"/>
      <c r="T15" s="9"/>
      <c r="U15" s="21">
        <f>INDEX(nazwy_wojewodztw!$A$1:$A$40,I15,1)</f>
        <v>0</v>
      </c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ht="17.25" thickTop="1" thickBot="1">
      <c r="A16" s="84" t="s">
        <v>22</v>
      </c>
      <c r="B16">
        <f>wyniki!O111</f>
        <v>0</v>
      </c>
      <c r="C16">
        <v>1.4999999999999999E-4</v>
      </c>
      <c r="D16">
        <f t="shared" si="0"/>
        <v>1.4999999999999999E-4</v>
      </c>
      <c r="E16">
        <f>wyniki!A105</f>
        <v>0</v>
      </c>
      <c r="G16" s="37">
        <v>15</v>
      </c>
      <c r="H16" s="69">
        <f>LARGE($D$2:$D$41,15)</f>
        <v>3.8999999999999999E-4</v>
      </c>
      <c r="I16" s="68">
        <f t="shared" si="1"/>
        <v>39</v>
      </c>
      <c r="J16" s="90">
        <f t="shared" si="2"/>
        <v>0</v>
      </c>
      <c r="K16" s="31"/>
      <c r="L16" s="31">
        <v>0</v>
      </c>
      <c r="M16" s="31">
        <f>MATCH(L16,wyniki!$A:$A,0)+1</f>
        <v>99</v>
      </c>
      <c r="N16" s="31">
        <v>8</v>
      </c>
      <c r="O16" s="120"/>
      <c r="P16" s="120"/>
      <c r="Q16" s="120"/>
      <c r="R16" s="120"/>
      <c r="S16" s="120"/>
      <c r="T16" s="9"/>
      <c r="U16" s="21">
        <f>INDEX(nazwy_wojewodztw!$A$1:$A$40,I16,1)</f>
        <v>0</v>
      </c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ht="17.25" thickTop="1" thickBot="1">
      <c r="A17" s="84" t="s">
        <v>29</v>
      </c>
      <c r="B17">
        <f>wyniki!O118</f>
        <v>0</v>
      </c>
      <c r="C17">
        <v>1.6000000000000001E-4</v>
      </c>
      <c r="D17">
        <f t="shared" si="0"/>
        <v>1.6000000000000001E-4</v>
      </c>
      <c r="E17">
        <f>wyniki!A112</f>
        <v>0</v>
      </c>
      <c r="G17" s="37">
        <v>16</v>
      </c>
      <c r="H17" s="69">
        <f>LARGE($D$2:$D$41,16)</f>
        <v>3.8000000000000002E-4</v>
      </c>
      <c r="I17" s="68">
        <f t="shared" si="1"/>
        <v>38</v>
      </c>
      <c r="J17" s="90">
        <f t="shared" si="2"/>
        <v>0</v>
      </c>
      <c r="K17" s="31"/>
      <c r="L17" s="31">
        <v>0</v>
      </c>
      <c r="M17" s="31">
        <f>MATCH(L17,wyniki!$A:$A,0)+1</f>
        <v>99</v>
      </c>
      <c r="N17" s="31">
        <v>8</v>
      </c>
      <c r="O17" s="120"/>
      <c r="P17" s="120"/>
      <c r="Q17" s="120"/>
      <c r="R17" s="120"/>
      <c r="S17" s="120"/>
      <c r="T17" s="9"/>
      <c r="U17" s="21">
        <f>INDEX(nazwy_wojewodztw!$A$1:$A$40,I17,1)</f>
        <v>0</v>
      </c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ht="17.25" thickTop="1" thickBot="1">
      <c r="A18" s="84" t="s">
        <v>30</v>
      </c>
      <c r="B18">
        <f>wyniki!O125</f>
        <v>0</v>
      </c>
      <c r="C18">
        <v>1.7000000000000001E-4</v>
      </c>
      <c r="D18">
        <f t="shared" si="0"/>
        <v>1.7000000000000001E-4</v>
      </c>
      <c r="E18">
        <f>wyniki!A119</f>
        <v>0</v>
      </c>
      <c r="G18" s="37">
        <v>17</v>
      </c>
      <c r="H18" s="69">
        <f>LARGE($D$2:$D$41,17)</f>
        <v>3.6999999999999999E-4</v>
      </c>
      <c r="I18" s="68">
        <f t="shared" si="1"/>
        <v>37</v>
      </c>
      <c r="J18" s="90">
        <f t="shared" si="2"/>
        <v>0</v>
      </c>
      <c r="K18" s="31"/>
      <c r="L18" s="31">
        <v>0</v>
      </c>
      <c r="M18" s="31">
        <f>MATCH(L18,wyniki!$A:$A,0)+1</f>
        <v>99</v>
      </c>
      <c r="N18" s="31">
        <v>8</v>
      </c>
      <c r="O18" s="120"/>
      <c r="P18" s="120"/>
      <c r="Q18" s="120"/>
      <c r="R18" s="120"/>
      <c r="S18" s="120"/>
      <c r="T18" s="9"/>
      <c r="U18" s="21">
        <f>INDEX(nazwy_wojewodztw!$A$1:$A$40,I18,1)</f>
        <v>0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ht="17.25" thickTop="1" thickBot="1">
      <c r="A19" s="84" t="s">
        <v>30</v>
      </c>
      <c r="B19">
        <f>wyniki!O132</f>
        <v>0</v>
      </c>
      <c r="C19">
        <v>1.8000000000000001E-4</v>
      </c>
      <c r="D19">
        <f t="shared" si="0"/>
        <v>1.8000000000000001E-4</v>
      </c>
      <c r="E19">
        <f>wyniki!A126</f>
        <v>0</v>
      </c>
      <c r="G19" s="37">
        <v>18</v>
      </c>
      <c r="H19" s="69">
        <f>LARGE($D$2:$D$41,18)</f>
        <v>3.6000000000000002E-4</v>
      </c>
      <c r="I19" s="68">
        <f t="shared" si="1"/>
        <v>36</v>
      </c>
      <c r="J19" s="90">
        <f t="shared" si="2"/>
        <v>0</v>
      </c>
      <c r="K19" s="31"/>
      <c r="L19" s="31">
        <v>0</v>
      </c>
      <c r="M19" s="31">
        <f>MATCH(L19,wyniki!$A:$A,0)+1</f>
        <v>99</v>
      </c>
      <c r="N19" s="31">
        <v>8</v>
      </c>
      <c r="O19" s="120"/>
      <c r="P19" s="120"/>
      <c r="Q19" s="120"/>
      <c r="R19" s="120"/>
      <c r="S19" s="120"/>
      <c r="T19" s="9"/>
      <c r="U19" s="21">
        <f>INDEX(nazwy_wojewodztw!$A$1:$A$40,I19,1)</f>
        <v>0</v>
      </c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 ht="17.25" thickTop="1" thickBot="1">
      <c r="A20" s="84" t="s">
        <v>31</v>
      </c>
      <c r="B20">
        <f>wyniki!O139</f>
        <v>0</v>
      </c>
      <c r="C20">
        <v>1.9000000000000001E-4</v>
      </c>
      <c r="D20">
        <f t="shared" si="0"/>
        <v>1.9000000000000001E-4</v>
      </c>
      <c r="E20">
        <f>wyniki!A133</f>
        <v>0</v>
      </c>
      <c r="G20" s="37">
        <v>19</v>
      </c>
      <c r="H20" s="69">
        <f>LARGE($D$2:$D$41,19)</f>
        <v>3.5E-4</v>
      </c>
      <c r="I20" s="68">
        <f t="shared" si="1"/>
        <v>35</v>
      </c>
      <c r="J20" s="90">
        <f t="shared" si="2"/>
        <v>0</v>
      </c>
      <c r="K20" s="31"/>
      <c r="L20" s="31">
        <v>0</v>
      </c>
      <c r="M20" s="31">
        <f>MATCH(L20,wyniki!$A:$A,0)+1</f>
        <v>99</v>
      </c>
      <c r="N20" s="31">
        <v>8</v>
      </c>
      <c r="O20" s="120"/>
      <c r="P20" s="120"/>
      <c r="Q20" s="120"/>
      <c r="R20" s="120"/>
      <c r="S20" s="120"/>
      <c r="T20" s="9"/>
      <c r="U20" s="21">
        <f>INDEX(nazwy_wojewodztw!$A$1:$A$40,I20,1)</f>
        <v>0</v>
      </c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 ht="17.25" thickTop="1" thickBot="1">
      <c r="A21" s="84" t="s">
        <v>31</v>
      </c>
      <c r="B21">
        <f>wyniki!O146</f>
        <v>0</v>
      </c>
      <c r="C21">
        <v>2.0000000000000001E-4</v>
      </c>
      <c r="D21">
        <f t="shared" si="0"/>
        <v>2.0000000000000001E-4</v>
      </c>
      <c r="E21">
        <f>wyniki!A140</f>
        <v>0</v>
      </c>
      <c r="G21" s="37">
        <v>20</v>
      </c>
      <c r="H21" s="69">
        <f>LARGE($D$2:$D$41,20)</f>
        <v>3.4000000000000002E-4</v>
      </c>
      <c r="I21" s="68">
        <f t="shared" si="1"/>
        <v>34</v>
      </c>
      <c r="J21" s="90">
        <f t="shared" si="2"/>
        <v>0</v>
      </c>
      <c r="K21" s="31"/>
      <c r="L21" s="31">
        <v>0</v>
      </c>
      <c r="M21" s="31">
        <f>MATCH(L21,wyniki!$A:$A,0)+1</f>
        <v>99</v>
      </c>
      <c r="N21" s="31">
        <v>8</v>
      </c>
      <c r="O21" s="120"/>
      <c r="P21" s="120"/>
      <c r="Q21" s="120"/>
      <c r="R21" s="120"/>
      <c r="S21" s="120"/>
      <c r="T21" s="9"/>
      <c r="U21" s="21">
        <f>INDEX(nazwy_wojewodztw!$A$1:$A$40,I21,1)</f>
        <v>0</v>
      </c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ht="17.25" thickTop="1" thickBot="1">
      <c r="A22" s="84" t="s">
        <v>32</v>
      </c>
      <c r="B22">
        <f>wyniki!O153</f>
        <v>0</v>
      </c>
      <c r="C22">
        <v>2.1000000000000001E-4</v>
      </c>
      <c r="D22">
        <f t="shared" si="0"/>
        <v>2.1000000000000001E-4</v>
      </c>
      <c r="E22">
        <f>wyniki!A147</f>
        <v>0</v>
      </c>
      <c r="G22" s="37">
        <v>21</v>
      </c>
      <c r="H22" s="69">
        <f>LARGE($D$2:$D$41,21)</f>
        <v>3.3E-4</v>
      </c>
      <c r="I22" s="68">
        <f t="shared" si="1"/>
        <v>33</v>
      </c>
      <c r="J22" s="90">
        <f t="shared" si="2"/>
        <v>0</v>
      </c>
      <c r="K22" s="31"/>
      <c r="L22" s="31">
        <v>0</v>
      </c>
      <c r="M22" s="31">
        <f>MATCH(L22,wyniki!$A:$A,0)+1</f>
        <v>99</v>
      </c>
      <c r="N22" s="31">
        <v>8</v>
      </c>
      <c r="O22" s="120"/>
      <c r="P22" s="120"/>
      <c r="Q22" s="120"/>
      <c r="R22" s="120"/>
      <c r="S22" s="120"/>
      <c r="T22" s="9"/>
      <c r="U22" s="21">
        <f>INDEX(nazwy_wojewodztw!$A$1:$A$40,I22,1)</f>
        <v>0</v>
      </c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17.25" thickTop="1" thickBot="1">
      <c r="A23" s="84" t="s">
        <v>33</v>
      </c>
      <c r="B23">
        <f>wyniki!O160</f>
        <v>0</v>
      </c>
      <c r="C23">
        <v>2.2000000000000001E-4</v>
      </c>
      <c r="D23">
        <f t="shared" si="0"/>
        <v>2.2000000000000001E-4</v>
      </c>
      <c r="E23">
        <f>wyniki!A154</f>
        <v>0</v>
      </c>
      <c r="G23" s="37">
        <v>22</v>
      </c>
      <c r="H23" s="69">
        <f>LARGE($D$2:$D$41,22)</f>
        <v>3.2000000000000003E-4</v>
      </c>
      <c r="I23" s="68">
        <f t="shared" si="1"/>
        <v>32</v>
      </c>
      <c r="J23" s="90">
        <f t="shared" si="2"/>
        <v>0</v>
      </c>
      <c r="K23" s="31"/>
      <c r="L23" s="31">
        <v>0</v>
      </c>
      <c r="M23" s="31">
        <f>MATCH(L23,wyniki!$A:$A,0)+1</f>
        <v>99</v>
      </c>
      <c r="N23" s="31">
        <v>8</v>
      </c>
      <c r="O23" s="120"/>
      <c r="P23" s="120"/>
      <c r="Q23" s="120"/>
      <c r="R23" s="120"/>
      <c r="S23" s="120"/>
      <c r="T23" s="9"/>
      <c r="U23" s="21">
        <f>INDEX(nazwy_wojewodztw!$A$1:$A$40,I23,1)</f>
        <v>0</v>
      </c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7.25" thickTop="1" thickBot="1">
      <c r="A24" s="84" t="s">
        <v>29</v>
      </c>
      <c r="B24">
        <f>wyniki!O167</f>
        <v>0</v>
      </c>
      <c r="C24">
        <v>2.3000000000000001E-4</v>
      </c>
      <c r="D24">
        <f t="shared" si="0"/>
        <v>2.3000000000000001E-4</v>
      </c>
      <c r="E24">
        <f>wyniki!A161</f>
        <v>0</v>
      </c>
      <c r="G24" s="37">
        <v>23</v>
      </c>
      <c r="H24" s="69">
        <f>LARGE($D$2:$D$41,23)</f>
        <v>3.1E-4</v>
      </c>
      <c r="I24" s="68">
        <f t="shared" si="1"/>
        <v>31</v>
      </c>
      <c r="J24" s="90">
        <f t="shared" si="2"/>
        <v>0</v>
      </c>
      <c r="K24" s="31"/>
      <c r="L24" s="31">
        <v>0</v>
      </c>
      <c r="M24" s="31">
        <f>MATCH(L24,wyniki!$A:$A,0)+1</f>
        <v>99</v>
      </c>
      <c r="N24" s="31">
        <v>8</v>
      </c>
      <c r="O24" s="120"/>
      <c r="P24" s="120"/>
      <c r="Q24" s="120"/>
      <c r="R24" s="120"/>
      <c r="S24" s="120"/>
      <c r="T24" s="9"/>
      <c r="U24" s="21">
        <f>INDEX(nazwy_wojewodztw!$A$1:$A$40,I24,1)</f>
        <v>0</v>
      </c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17.25" thickTop="1" thickBot="1">
      <c r="A25" s="84" t="s">
        <v>28</v>
      </c>
      <c r="B25">
        <f>wyniki!O174</f>
        <v>0</v>
      </c>
      <c r="C25">
        <v>2.4000000000000001E-4</v>
      </c>
      <c r="D25">
        <f t="shared" si="0"/>
        <v>2.4000000000000001E-4</v>
      </c>
      <c r="E25">
        <f>wyniki!A168</f>
        <v>0</v>
      </c>
      <c r="G25" s="37">
        <v>24</v>
      </c>
      <c r="H25" s="69">
        <f>LARGE($D$2:$D$41,24)</f>
        <v>2.9999999999999997E-4</v>
      </c>
      <c r="I25" s="68">
        <f t="shared" si="1"/>
        <v>30</v>
      </c>
      <c r="J25" s="90">
        <f t="shared" si="2"/>
        <v>0</v>
      </c>
      <c r="K25" s="31"/>
      <c r="L25" s="31">
        <v>0</v>
      </c>
      <c r="M25" s="31">
        <f>MATCH(L25,wyniki!$A:$A,0)+1</f>
        <v>99</v>
      </c>
      <c r="N25" s="31">
        <v>8</v>
      </c>
      <c r="O25" s="120"/>
      <c r="P25" s="120"/>
      <c r="Q25" s="120"/>
      <c r="R25" s="120"/>
      <c r="S25" s="120"/>
      <c r="T25" s="9"/>
      <c r="U25" s="21">
        <f>INDEX(nazwy_wojewodztw!$A$1:$A$40,I25,1)</f>
        <v>0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17.25" thickTop="1" thickBot="1">
      <c r="A26" s="84" t="s">
        <v>27</v>
      </c>
      <c r="B26">
        <f>wyniki!O181</f>
        <v>0</v>
      </c>
      <c r="C26">
        <v>2.5000000000000001E-4</v>
      </c>
      <c r="D26">
        <f t="shared" si="0"/>
        <v>2.5000000000000001E-4</v>
      </c>
      <c r="E26">
        <f>wyniki!A175</f>
        <v>0</v>
      </c>
      <c r="G26" s="37">
        <v>25</v>
      </c>
      <c r="H26" s="69">
        <f>LARGE($D$2:$D$41,25)</f>
        <v>2.9E-4</v>
      </c>
      <c r="I26" s="68">
        <f t="shared" si="1"/>
        <v>29</v>
      </c>
      <c r="J26" s="90">
        <f t="shared" si="2"/>
        <v>0</v>
      </c>
      <c r="K26" s="31"/>
      <c r="L26" s="31">
        <v>0</v>
      </c>
      <c r="M26" s="31">
        <f>MATCH(L26,wyniki!$A:$A,0)+1</f>
        <v>99</v>
      </c>
      <c r="N26" s="31">
        <v>8</v>
      </c>
      <c r="O26" s="120"/>
      <c r="P26" s="120"/>
      <c r="Q26" s="120"/>
      <c r="R26" s="120"/>
      <c r="S26" s="120"/>
      <c r="T26" s="9"/>
      <c r="U26" s="21">
        <f>INDEX(nazwy_wojewodztw!$A$1:$A$40,I26,1)</f>
        <v>0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17.25" thickTop="1" thickBot="1">
      <c r="A27" s="84" t="s">
        <v>32</v>
      </c>
      <c r="B27">
        <f>wyniki!O188</f>
        <v>0</v>
      </c>
      <c r="C27">
        <v>2.5999999999999998E-4</v>
      </c>
      <c r="D27">
        <f t="shared" si="0"/>
        <v>2.5999999999999998E-4</v>
      </c>
      <c r="E27">
        <f>wyniki!A182</f>
        <v>0</v>
      </c>
      <c r="G27" s="37">
        <v>26</v>
      </c>
      <c r="H27" s="69">
        <f>LARGE($D$2:$D$41,26)</f>
        <v>2.7999999999999998E-4</v>
      </c>
      <c r="I27" s="68">
        <f t="shared" si="1"/>
        <v>28</v>
      </c>
      <c r="J27" s="90">
        <f t="shared" si="2"/>
        <v>0</v>
      </c>
      <c r="K27" s="31"/>
      <c r="L27" s="31">
        <v>0</v>
      </c>
      <c r="M27" s="31">
        <f>MATCH(L27,wyniki!$A:$A,0)+1</f>
        <v>99</v>
      </c>
      <c r="N27" s="31">
        <v>8</v>
      </c>
      <c r="O27" s="120"/>
      <c r="P27" s="120"/>
      <c r="Q27" s="120"/>
      <c r="R27" s="120"/>
      <c r="S27" s="120"/>
      <c r="T27" s="9"/>
      <c r="U27" s="21">
        <f>INDEX(nazwy_wojewodztw!$A$1:$A$40,I27,1)</f>
        <v>0</v>
      </c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17.25" thickTop="1" thickBot="1">
      <c r="A28" s="84" t="s">
        <v>37</v>
      </c>
      <c r="B28">
        <f>wyniki!O195</f>
        <v>0</v>
      </c>
      <c r="C28">
        <v>2.7E-4</v>
      </c>
      <c r="D28">
        <f t="shared" si="0"/>
        <v>2.7E-4</v>
      </c>
      <c r="E28">
        <f>wyniki!A189</f>
        <v>0</v>
      </c>
      <c r="G28" s="37">
        <v>27</v>
      </c>
      <c r="H28" s="69">
        <f>LARGE($D$2:$D$41,27)</f>
        <v>2.7E-4</v>
      </c>
      <c r="I28" s="68">
        <f t="shared" si="1"/>
        <v>27</v>
      </c>
      <c r="J28" s="90">
        <f t="shared" si="2"/>
        <v>0</v>
      </c>
      <c r="K28" s="31"/>
      <c r="L28" s="31">
        <v>0</v>
      </c>
      <c r="M28" s="31">
        <f>MATCH(L28,wyniki!$A:$A,0)+1</f>
        <v>99</v>
      </c>
      <c r="N28" s="31">
        <v>8</v>
      </c>
      <c r="O28" s="120"/>
      <c r="P28" s="120"/>
      <c r="Q28" s="120"/>
      <c r="R28" s="120"/>
      <c r="S28" s="120"/>
      <c r="T28" s="9"/>
      <c r="U28" s="21">
        <f>INDEX(nazwy_wojewodztw!$A$1:$A$40,I28,1)</f>
        <v>0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ht="17.25" thickTop="1" thickBot="1">
      <c r="A29" s="84" t="s">
        <v>22</v>
      </c>
      <c r="B29">
        <f>wyniki!O202</f>
        <v>0</v>
      </c>
      <c r="C29">
        <v>2.7999999999999998E-4</v>
      </c>
      <c r="D29">
        <f t="shared" si="0"/>
        <v>2.7999999999999998E-4</v>
      </c>
      <c r="E29">
        <f>wyniki!A196</f>
        <v>0</v>
      </c>
      <c r="G29" s="37">
        <v>28</v>
      </c>
      <c r="H29" s="69">
        <f>LARGE($D$2:$D$41,28)</f>
        <v>2.5999999999999998E-4</v>
      </c>
      <c r="I29" s="68">
        <f t="shared" si="1"/>
        <v>26</v>
      </c>
      <c r="J29" s="90">
        <f t="shared" si="2"/>
        <v>0</v>
      </c>
      <c r="K29" s="31"/>
      <c r="L29" s="31">
        <v>0</v>
      </c>
      <c r="M29" s="31">
        <f>MATCH(L29,wyniki!$A:$A,0)+1</f>
        <v>99</v>
      </c>
      <c r="N29" s="31">
        <v>8</v>
      </c>
      <c r="O29" s="120"/>
      <c r="P29" s="120"/>
      <c r="Q29" s="120"/>
      <c r="R29" s="120"/>
      <c r="S29" s="120"/>
      <c r="T29" s="9"/>
      <c r="U29" s="21">
        <f>INDEX(nazwy_wojewodztw!$A$1:$A$40,I29,1)</f>
        <v>0</v>
      </c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ht="17.25" thickTop="1" thickBot="1">
      <c r="A30" s="84" t="s">
        <v>33</v>
      </c>
      <c r="B30">
        <f>wyniki!O209</f>
        <v>0</v>
      </c>
      <c r="C30">
        <v>2.9E-4</v>
      </c>
      <c r="D30">
        <f t="shared" si="0"/>
        <v>2.9E-4</v>
      </c>
      <c r="E30">
        <f>wyniki!A203</f>
        <v>0</v>
      </c>
      <c r="G30" s="37">
        <v>29</v>
      </c>
      <c r="H30" s="69">
        <f>LARGE($D$2:$D$41,29)</f>
        <v>2.5000000000000001E-4</v>
      </c>
      <c r="I30" s="68">
        <f t="shared" si="1"/>
        <v>25</v>
      </c>
      <c r="J30" s="90">
        <f t="shared" si="2"/>
        <v>0</v>
      </c>
      <c r="K30" s="31"/>
      <c r="L30" s="31">
        <v>0</v>
      </c>
      <c r="M30" s="31">
        <f>MATCH(L30,wyniki!$A:$A,0)+1</f>
        <v>99</v>
      </c>
      <c r="N30" s="31">
        <v>8</v>
      </c>
      <c r="O30" s="120"/>
      <c r="P30" s="120"/>
      <c r="Q30" s="120"/>
      <c r="R30" s="120"/>
      <c r="S30" s="120"/>
      <c r="T30" s="9"/>
      <c r="U30" s="21">
        <f>INDEX(nazwy_wojewodztw!$A$1:$A$40,I30,1)</f>
        <v>0</v>
      </c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ht="17.25" thickTop="1" thickBot="1">
      <c r="B31">
        <f>wyniki!O216</f>
        <v>0</v>
      </c>
      <c r="C31">
        <v>2.9999999999999997E-4</v>
      </c>
      <c r="D31">
        <f t="shared" si="0"/>
        <v>2.9999999999999997E-4</v>
      </c>
      <c r="E31">
        <f>wyniki!A210</f>
        <v>0</v>
      </c>
      <c r="G31" s="37">
        <v>30</v>
      </c>
      <c r="H31" s="69">
        <f>LARGE($D$2:$D$41,30)</f>
        <v>2.4000000000000001E-4</v>
      </c>
      <c r="I31" s="68">
        <f t="shared" si="1"/>
        <v>24</v>
      </c>
      <c r="J31" s="90">
        <f t="shared" si="2"/>
        <v>0</v>
      </c>
      <c r="K31" s="31"/>
      <c r="L31" s="31">
        <v>0</v>
      </c>
      <c r="M31" s="31">
        <f>MATCH(L31,wyniki!$A:$A,0)+1</f>
        <v>99</v>
      </c>
      <c r="N31" s="31">
        <v>8</v>
      </c>
      <c r="O31" s="120"/>
      <c r="P31" s="120"/>
      <c r="Q31" s="120"/>
      <c r="R31" s="120"/>
      <c r="S31" s="120"/>
      <c r="T31" s="9"/>
      <c r="U31" s="21">
        <f>INDEX(nazwy_wojewodztw!$A$1:$A$40,I31,1)</f>
        <v>0</v>
      </c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7.25" thickTop="1" thickBot="1">
      <c r="B32">
        <f>wyniki!O223</f>
        <v>0</v>
      </c>
      <c r="C32">
        <v>3.1E-4</v>
      </c>
      <c r="D32">
        <f t="shared" si="0"/>
        <v>3.1E-4</v>
      </c>
      <c r="E32">
        <f>wyniki!A217</f>
        <v>0</v>
      </c>
      <c r="G32" s="37">
        <v>31</v>
      </c>
      <c r="H32" s="69">
        <f>LARGE($D$2:$D$41,31)</f>
        <v>2.3000000000000001E-4</v>
      </c>
      <c r="I32" s="68">
        <f t="shared" si="1"/>
        <v>23</v>
      </c>
      <c r="J32" s="90">
        <f t="shared" si="2"/>
        <v>0</v>
      </c>
      <c r="K32" s="31"/>
      <c r="L32" s="31">
        <v>0</v>
      </c>
      <c r="M32" s="31">
        <f>MATCH(L32,wyniki!$A:$A,0)+1</f>
        <v>99</v>
      </c>
      <c r="N32" s="31">
        <v>8</v>
      </c>
      <c r="O32" s="120"/>
      <c r="P32" s="120"/>
      <c r="Q32" s="120"/>
      <c r="R32" s="120"/>
      <c r="S32" s="120"/>
      <c r="T32" s="9"/>
      <c r="U32" s="21">
        <f>INDEX(nazwy_wojewodztw!$A$1:$A$40,I32,1)</f>
        <v>0</v>
      </c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ht="17.25" thickTop="1" thickBot="1">
      <c r="B33">
        <f>wyniki!O230</f>
        <v>0</v>
      </c>
      <c r="C33">
        <v>3.2000000000000003E-4</v>
      </c>
      <c r="D33">
        <f t="shared" si="0"/>
        <v>3.2000000000000003E-4</v>
      </c>
      <c r="E33">
        <f>wyniki!A224</f>
        <v>0</v>
      </c>
      <c r="G33" s="37">
        <v>32</v>
      </c>
      <c r="H33" s="69">
        <f>LARGE($D$2:$D$41,32)</f>
        <v>2.2000000000000001E-4</v>
      </c>
      <c r="I33" s="68">
        <f t="shared" si="1"/>
        <v>22</v>
      </c>
      <c r="J33" s="90">
        <f t="shared" si="2"/>
        <v>0</v>
      </c>
      <c r="K33" s="31"/>
      <c r="L33" s="31">
        <v>0</v>
      </c>
      <c r="M33" s="31">
        <f>MATCH(L33,wyniki!$A:$A,0)+1</f>
        <v>99</v>
      </c>
      <c r="N33" s="31">
        <v>8</v>
      </c>
      <c r="O33" s="120"/>
      <c r="P33" s="120"/>
      <c r="Q33" s="120"/>
      <c r="R33" s="120"/>
      <c r="S33" s="120"/>
      <c r="T33" s="9"/>
      <c r="U33" s="21">
        <f>INDEX(nazwy_wojewodztw!$A$1:$A$40,I33,1)</f>
        <v>0</v>
      </c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ht="17.25" thickTop="1" thickBot="1">
      <c r="B34">
        <f>wyniki!O237</f>
        <v>0</v>
      </c>
      <c r="C34">
        <v>3.3E-4</v>
      </c>
      <c r="D34">
        <f t="shared" si="0"/>
        <v>3.3E-4</v>
      </c>
      <c r="E34">
        <f>wyniki!A231</f>
        <v>0</v>
      </c>
      <c r="G34" s="37">
        <v>33</v>
      </c>
      <c r="H34" s="69">
        <f>LARGE($D$2:$D$41,33)</f>
        <v>2.1000000000000001E-4</v>
      </c>
      <c r="I34" s="68">
        <f t="shared" si="1"/>
        <v>21</v>
      </c>
      <c r="J34" s="90">
        <f t="shared" si="2"/>
        <v>0</v>
      </c>
      <c r="K34" s="31"/>
      <c r="L34" s="31">
        <v>0</v>
      </c>
      <c r="M34" s="31">
        <f>MATCH(L34,wyniki!$A:$A,0)+1</f>
        <v>99</v>
      </c>
      <c r="N34" s="31">
        <v>8</v>
      </c>
      <c r="O34" s="120"/>
      <c r="P34" s="120"/>
      <c r="Q34" s="120"/>
      <c r="R34" s="120"/>
      <c r="S34" s="120"/>
      <c r="T34" s="9"/>
      <c r="U34" s="21">
        <f>INDEX(nazwy_wojewodztw!$A$1:$A$40,I34,1)</f>
        <v>0</v>
      </c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ht="17.25" thickTop="1" thickBot="1">
      <c r="B35">
        <f>wyniki!O244</f>
        <v>0</v>
      </c>
      <c r="C35">
        <v>3.4000000000000002E-4</v>
      </c>
      <c r="D35">
        <f t="shared" si="0"/>
        <v>3.4000000000000002E-4</v>
      </c>
      <c r="E35">
        <f>wyniki!A238</f>
        <v>0</v>
      </c>
      <c r="G35" s="37">
        <v>34</v>
      </c>
      <c r="H35" s="69">
        <f>LARGE($D$2:$D$41,34)</f>
        <v>2.0000000000000001E-4</v>
      </c>
      <c r="I35" s="68">
        <f t="shared" si="1"/>
        <v>20</v>
      </c>
      <c r="J35" s="90">
        <f t="shared" si="2"/>
        <v>0</v>
      </c>
      <c r="K35" s="31"/>
      <c r="L35" s="31">
        <v>0</v>
      </c>
      <c r="M35" s="31">
        <f>MATCH(L35,wyniki!$A:$A,0)+1</f>
        <v>99</v>
      </c>
      <c r="N35" s="31">
        <v>8</v>
      </c>
      <c r="O35" s="120"/>
      <c r="P35" s="120"/>
      <c r="Q35" s="120"/>
      <c r="R35" s="120"/>
      <c r="S35" s="120"/>
      <c r="T35" s="9"/>
      <c r="U35" s="21">
        <f>INDEX(nazwy_wojewodztw!$A$1:$A$40,I35,1)</f>
        <v>0</v>
      </c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ht="17.25" thickTop="1" thickBot="1">
      <c r="B36">
        <f>wyniki!O251</f>
        <v>0</v>
      </c>
      <c r="C36">
        <v>3.5E-4</v>
      </c>
      <c r="D36">
        <f t="shared" si="0"/>
        <v>3.5E-4</v>
      </c>
      <c r="E36">
        <f>wyniki!A245</f>
        <v>0</v>
      </c>
      <c r="G36" s="37">
        <v>35</v>
      </c>
      <c r="H36" s="69">
        <f>LARGE($D$2:$D$41,35)</f>
        <v>1.9000000000000001E-4</v>
      </c>
      <c r="I36" s="68">
        <f t="shared" si="1"/>
        <v>19</v>
      </c>
      <c r="J36" s="90">
        <f t="shared" si="2"/>
        <v>0</v>
      </c>
      <c r="K36" s="31"/>
      <c r="L36" s="31">
        <v>0</v>
      </c>
      <c r="M36" s="31">
        <f>MATCH(L36,wyniki!$A:$A,0)+1</f>
        <v>99</v>
      </c>
      <c r="N36" s="31">
        <v>8</v>
      </c>
      <c r="O36" s="120"/>
      <c r="P36" s="120"/>
      <c r="Q36" s="120"/>
      <c r="R36" s="120"/>
      <c r="S36" s="120"/>
      <c r="T36" s="9"/>
      <c r="U36" s="21">
        <f>INDEX(nazwy_wojewodztw!$A$1:$A$40,I36,1)</f>
        <v>0</v>
      </c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ht="17.25" thickTop="1" thickBot="1">
      <c r="B37">
        <f>wyniki!O258</f>
        <v>0</v>
      </c>
      <c r="C37">
        <v>3.6000000000000002E-4</v>
      </c>
      <c r="D37">
        <f t="shared" si="0"/>
        <v>3.6000000000000002E-4</v>
      </c>
      <c r="E37">
        <f>wyniki!A252</f>
        <v>0</v>
      </c>
      <c r="G37" s="37">
        <v>36</v>
      </c>
      <c r="H37" s="69">
        <f>LARGE($D$2:$D$41,36)</f>
        <v>1.8000000000000001E-4</v>
      </c>
      <c r="I37" s="68">
        <f t="shared" si="1"/>
        <v>18</v>
      </c>
      <c r="J37" s="90">
        <f t="shared" si="2"/>
        <v>0</v>
      </c>
      <c r="K37" s="31"/>
      <c r="L37" s="31">
        <v>0</v>
      </c>
      <c r="M37" s="31">
        <f>MATCH(L37,wyniki!$A:$A,0)+1</f>
        <v>99</v>
      </c>
      <c r="N37" s="31">
        <v>8</v>
      </c>
      <c r="O37" s="120"/>
      <c r="P37" s="120"/>
      <c r="Q37" s="120"/>
      <c r="R37" s="120"/>
      <c r="S37" s="120"/>
      <c r="T37" s="9"/>
      <c r="U37" s="21">
        <f>INDEX(nazwy_wojewodztw!$A$1:$A$40,I37,1)</f>
        <v>0</v>
      </c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ht="17.25" thickTop="1" thickBot="1">
      <c r="B38">
        <f>wyniki!O265</f>
        <v>0</v>
      </c>
      <c r="C38">
        <v>3.6999999999999999E-4</v>
      </c>
      <c r="D38">
        <f t="shared" si="0"/>
        <v>3.6999999999999999E-4</v>
      </c>
      <c r="E38">
        <f>wyniki!A259</f>
        <v>0</v>
      </c>
      <c r="G38" s="37">
        <v>37</v>
      </c>
      <c r="H38" s="69">
        <f>LARGE($D$2:$D$41,37)</f>
        <v>1.7000000000000001E-4</v>
      </c>
      <c r="I38" s="68">
        <f t="shared" si="1"/>
        <v>17</v>
      </c>
      <c r="J38" s="90">
        <f t="shared" si="2"/>
        <v>0</v>
      </c>
      <c r="K38" s="31"/>
      <c r="L38" s="31">
        <v>0</v>
      </c>
      <c r="M38" s="31">
        <f>MATCH(L38,wyniki!$A:$A,0)+1</f>
        <v>99</v>
      </c>
      <c r="N38" s="31">
        <v>8</v>
      </c>
      <c r="O38" s="120"/>
      <c r="P38" s="120"/>
      <c r="Q38" s="120"/>
      <c r="R38" s="120"/>
      <c r="S38" s="120"/>
      <c r="T38" s="9"/>
      <c r="U38" s="21">
        <f>INDEX(nazwy_wojewodztw!$A$1:$A$40,I38,1)</f>
        <v>0</v>
      </c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ht="17.25" thickTop="1" thickBot="1">
      <c r="B39">
        <f>wyniki!O272</f>
        <v>0</v>
      </c>
      <c r="C39">
        <v>3.8000000000000002E-4</v>
      </c>
      <c r="D39">
        <f t="shared" si="0"/>
        <v>3.8000000000000002E-4</v>
      </c>
      <c r="E39">
        <f>wyniki!A266</f>
        <v>0</v>
      </c>
      <c r="G39" s="37">
        <v>38</v>
      </c>
      <c r="H39" s="69">
        <f>LARGE($D$2:$D$41,38)</f>
        <v>1.6000000000000001E-4</v>
      </c>
      <c r="I39" s="68">
        <f t="shared" si="1"/>
        <v>16</v>
      </c>
      <c r="J39" s="90">
        <f t="shared" si="2"/>
        <v>0</v>
      </c>
      <c r="K39" s="31"/>
      <c r="L39" s="31">
        <v>0</v>
      </c>
      <c r="M39" s="31">
        <f>MATCH(L39,wyniki!$A:$A,0)+1</f>
        <v>99</v>
      </c>
      <c r="N39" s="31">
        <v>8</v>
      </c>
      <c r="O39" s="120"/>
      <c r="P39" s="120"/>
      <c r="Q39" s="120"/>
      <c r="R39" s="120"/>
      <c r="S39" s="120"/>
      <c r="T39" s="9"/>
      <c r="U39" s="21">
        <f>INDEX(nazwy_wojewodztw!$A$1:$A$40,I39,1)</f>
        <v>0</v>
      </c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ht="17.25" thickTop="1" thickBot="1">
      <c r="B40">
        <f>wyniki!O279</f>
        <v>0</v>
      </c>
      <c r="C40">
        <v>3.8999999999999999E-4</v>
      </c>
      <c r="D40">
        <f t="shared" si="0"/>
        <v>3.8999999999999999E-4</v>
      </c>
      <c r="E40">
        <f>wyniki!A273</f>
        <v>0</v>
      </c>
      <c r="G40" s="37">
        <v>39</v>
      </c>
      <c r="H40" s="69">
        <f>LARGE($D$2:$D$41,39)</f>
        <v>1.4999999999999999E-4</v>
      </c>
      <c r="I40" s="68">
        <f t="shared" si="1"/>
        <v>15</v>
      </c>
      <c r="J40" s="90">
        <f t="shared" si="2"/>
        <v>0</v>
      </c>
      <c r="K40" s="31"/>
      <c r="L40" s="31">
        <v>0</v>
      </c>
      <c r="M40" s="31">
        <f>MATCH(L40,wyniki!$A:$A,0)+1</f>
        <v>99</v>
      </c>
      <c r="N40" s="31">
        <v>8</v>
      </c>
      <c r="O40" s="120"/>
      <c r="P40" s="120"/>
      <c r="Q40" s="120"/>
      <c r="R40" s="120"/>
      <c r="S40" s="120"/>
      <c r="T40" s="9"/>
      <c r="U40" s="21">
        <f>INDEX(nazwy_wojewodztw!$A$1:$A$40,I40,1)</f>
        <v>0</v>
      </c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ht="17.25" thickTop="1" thickBot="1">
      <c r="B41">
        <f>wyniki!O286</f>
        <v>0</v>
      </c>
      <c r="C41">
        <v>4.0000000000000002E-4</v>
      </c>
      <c r="D41">
        <f t="shared" si="0"/>
        <v>4.0000000000000002E-4</v>
      </c>
      <c r="E41">
        <f>wyniki!A280</f>
        <v>0</v>
      </c>
      <c r="G41" s="37">
        <v>40</v>
      </c>
      <c r="H41" s="69">
        <f>LARGE($D$2:$D$41,40)</f>
        <v>1.3999999999999999E-4</v>
      </c>
      <c r="I41" s="68">
        <f t="shared" si="1"/>
        <v>14</v>
      </c>
      <c r="J41" s="90">
        <f t="shared" si="2"/>
        <v>0</v>
      </c>
      <c r="K41" s="31"/>
      <c r="L41" s="31">
        <v>0</v>
      </c>
      <c r="M41" s="31">
        <f>MATCH(L41,wyniki!$A:$A,0)+1</f>
        <v>99</v>
      </c>
      <c r="N41" s="31">
        <v>8</v>
      </c>
      <c r="O41" s="120"/>
      <c r="P41" s="120"/>
      <c r="Q41" s="120"/>
      <c r="R41" s="120"/>
      <c r="S41" s="120"/>
      <c r="T41" s="9"/>
      <c r="U41" s="21">
        <f>INDEX(nazwy_wojewodztw!$A$1:$A$40,I41,1)</f>
        <v>0</v>
      </c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ht="13.5" thickTop="1">
      <c r="A42" s="85"/>
      <c r="B42" s="21"/>
      <c r="C42" s="21"/>
      <c r="D42" s="21"/>
      <c r="E42" s="21"/>
      <c r="F42" s="21"/>
      <c r="G42" s="74"/>
      <c r="H42" s="76"/>
      <c r="I42" s="21"/>
      <c r="J42" s="86"/>
      <c r="K42" s="31"/>
      <c r="L42" s="31"/>
      <c r="M42" s="31"/>
      <c r="N42" s="31"/>
      <c r="O42" s="31"/>
      <c r="P42" s="31"/>
      <c r="Q42" s="31"/>
      <c r="R42" s="31"/>
      <c r="S42" s="3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>
      <c r="A43" s="85"/>
      <c r="B43" s="21"/>
      <c r="C43" s="21"/>
      <c r="D43" s="21"/>
      <c r="E43" s="21"/>
      <c r="F43" s="21"/>
      <c r="G43" s="74"/>
      <c r="H43" s="76"/>
      <c r="I43" s="21"/>
      <c r="J43" s="86"/>
      <c r="K43" s="31"/>
      <c r="L43" s="31"/>
      <c r="M43" s="31"/>
      <c r="N43" s="31"/>
      <c r="O43" s="31"/>
      <c r="P43" s="31"/>
      <c r="Q43" s="31"/>
      <c r="R43" s="31"/>
      <c r="S43" s="3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>
      <c r="A44" s="85"/>
      <c r="B44" s="21"/>
      <c r="C44" s="21"/>
      <c r="D44" s="21"/>
      <c r="E44" s="21"/>
      <c r="F44" s="21"/>
      <c r="G44" s="74"/>
      <c r="H44" s="76"/>
      <c r="I44" s="21"/>
      <c r="J44" s="86"/>
      <c r="K44" s="31"/>
      <c r="L44" s="31"/>
      <c r="M44" s="31"/>
      <c r="N44" s="31"/>
      <c r="O44" s="31"/>
      <c r="P44" s="31"/>
      <c r="Q44" s="31"/>
      <c r="R44" s="31"/>
      <c r="S44" s="3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>
      <c r="A45" s="85"/>
      <c r="B45" s="21"/>
      <c r="C45" s="21"/>
      <c r="D45" s="21"/>
      <c r="E45" s="21"/>
      <c r="F45" s="21"/>
      <c r="G45" s="74"/>
      <c r="H45" s="76"/>
      <c r="I45" s="21"/>
      <c r="J45" s="86"/>
      <c r="K45" s="31"/>
      <c r="L45" s="31"/>
      <c r="M45" s="31"/>
      <c r="N45" s="31"/>
      <c r="O45" s="31"/>
      <c r="P45" s="31"/>
      <c r="Q45" s="31"/>
      <c r="R45" s="31"/>
      <c r="S45" s="3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>
      <c r="A46" s="85"/>
      <c r="B46" s="21"/>
      <c r="C46" s="21"/>
      <c r="D46" s="21"/>
      <c r="E46" s="21"/>
      <c r="F46" s="21"/>
      <c r="G46" s="74"/>
      <c r="H46" s="76"/>
      <c r="I46" s="21"/>
      <c r="J46" s="86"/>
      <c r="K46" s="31"/>
      <c r="L46" s="31"/>
      <c r="M46" s="31"/>
      <c r="N46" s="31"/>
      <c r="O46" s="31"/>
      <c r="P46" s="31"/>
      <c r="Q46" s="31"/>
      <c r="R46" s="31"/>
      <c r="S46" s="3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>
      <c r="A47" s="85"/>
      <c r="B47" s="21"/>
      <c r="C47" s="21"/>
      <c r="D47" s="21"/>
      <c r="E47" s="21"/>
      <c r="F47" s="21"/>
      <c r="G47" s="74"/>
      <c r="H47" s="76"/>
      <c r="I47" s="21"/>
      <c r="J47" s="86"/>
      <c r="K47" s="31"/>
      <c r="L47" s="31"/>
      <c r="M47" s="31"/>
      <c r="N47" s="31"/>
      <c r="O47" s="31"/>
      <c r="P47" s="31"/>
      <c r="Q47" s="31"/>
      <c r="R47" s="31"/>
      <c r="S47" s="3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>
      <c r="A48" s="85"/>
      <c r="B48" s="21"/>
      <c r="C48" s="21"/>
      <c r="D48" s="21"/>
      <c r="E48" s="21"/>
      <c r="F48" s="21"/>
      <c r="G48" s="74"/>
      <c r="H48" s="76"/>
      <c r="I48" s="21"/>
      <c r="J48" s="86"/>
      <c r="K48" s="31"/>
      <c r="L48" s="31"/>
      <c r="M48" s="31"/>
      <c r="N48" s="31"/>
      <c r="O48" s="31"/>
      <c r="P48" s="31"/>
      <c r="Q48" s="31"/>
      <c r="R48" s="31"/>
      <c r="S48" s="3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>
      <c r="A49" s="85"/>
      <c r="B49" s="21"/>
      <c r="C49" s="21"/>
      <c r="D49" s="21"/>
      <c r="E49" s="21"/>
      <c r="F49" s="21"/>
      <c r="G49" s="74"/>
      <c r="H49" s="76"/>
      <c r="I49" s="21"/>
      <c r="J49" s="86"/>
      <c r="K49" s="31"/>
      <c r="L49" s="31"/>
      <c r="M49" s="31"/>
      <c r="N49" s="31"/>
      <c r="O49" s="31"/>
      <c r="P49" s="31"/>
      <c r="Q49" s="31"/>
      <c r="R49" s="31"/>
      <c r="S49" s="3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>
      <c r="A50" s="85"/>
      <c r="B50" s="21"/>
      <c r="C50" s="21"/>
      <c r="D50" s="21"/>
      <c r="E50" s="21"/>
      <c r="F50" s="21"/>
      <c r="G50" s="74"/>
      <c r="H50" s="76"/>
      <c r="I50" s="21"/>
      <c r="J50" s="86"/>
      <c r="K50" s="31"/>
      <c r="L50" s="31"/>
      <c r="M50" s="31"/>
      <c r="N50" s="31"/>
      <c r="O50" s="31"/>
      <c r="P50" s="31"/>
      <c r="Q50" s="31"/>
      <c r="R50" s="31"/>
      <c r="S50" s="3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>
      <c r="A51" s="85"/>
      <c r="B51" s="21"/>
      <c r="C51" s="21"/>
      <c r="D51" s="21"/>
      <c r="E51" s="21"/>
      <c r="F51" s="21"/>
      <c r="G51" s="74"/>
      <c r="H51" s="76"/>
      <c r="I51" s="21"/>
      <c r="J51" s="86"/>
      <c r="K51" s="31"/>
      <c r="L51" s="31"/>
      <c r="M51" s="31"/>
      <c r="N51" s="31"/>
      <c r="O51" s="31"/>
      <c r="P51" s="31"/>
      <c r="Q51" s="31"/>
      <c r="R51" s="31"/>
      <c r="S51" s="3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>
      <c r="A52" s="85"/>
      <c r="B52" s="21"/>
      <c r="C52" s="21"/>
      <c r="D52" s="21"/>
      <c r="E52" s="21"/>
      <c r="F52" s="21"/>
      <c r="G52" s="74"/>
      <c r="H52" s="76"/>
      <c r="I52" s="21"/>
      <c r="J52" s="86"/>
      <c r="K52" s="31"/>
      <c r="L52" s="31"/>
      <c r="M52" s="31"/>
      <c r="N52" s="31"/>
      <c r="O52" s="31"/>
      <c r="P52" s="31"/>
      <c r="Q52" s="31"/>
      <c r="R52" s="31"/>
      <c r="S52" s="3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>
      <c r="A53" s="85"/>
      <c r="B53" s="21"/>
      <c r="C53" s="21"/>
      <c r="D53" s="21"/>
      <c r="E53" s="21"/>
      <c r="F53" s="21"/>
      <c r="G53" s="74"/>
      <c r="H53" s="76"/>
      <c r="I53" s="21"/>
      <c r="J53" s="86"/>
      <c r="K53" s="31"/>
      <c r="L53" s="31"/>
      <c r="M53" s="31"/>
      <c r="N53" s="31"/>
      <c r="O53" s="31"/>
      <c r="P53" s="31"/>
      <c r="Q53" s="31"/>
      <c r="R53" s="31"/>
      <c r="S53" s="3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>
      <c r="A54" s="85"/>
      <c r="B54" s="21"/>
      <c r="C54" s="21"/>
      <c r="D54" s="21"/>
      <c r="E54" s="21"/>
      <c r="F54" s="21"/>
      <c r="G54" s="74"/>
      <c r="H54" s="76"/>
      <c r="I54" s="21"/>
      <c r="J54" s="86"/>
      <c r="K54" s="31"/>
      <c r="L54" s="31"/>
      <c r="M54" s="31"/>
      <c r="N54" s="31"/>
      <c r="O54" s="31"/>
      <c r="P54" s="31"/>
      <c r="Q54" s="31"/>
      <c r="R54" s="31"/>
      <c r="S54" s="3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>
      <c r="A55" s="85"/>
      <c r="B55" s="21"/>
      <c r="C55" s="21"/>
      <c r="D55" s="21"/>
      <c r="E55" s="21"/>
      <c r="F55" s="21"/>
      <c r="G55" s="74"/>
      <c r="H55" s="76"/>
      <c r="I55" s="21"/>
      <c r="J55" s="86"/>
      <c r="K55" s="31"/>
      <c r="L55" s="31"/>
      <c r="M55" s="31"/>
      <c r="N55" s="31"/>
      <c r="O55" s="31"/>
      <c r="P55" s="31"/>
      <c r="Q55" s="31"/>
      <c r="R55" s="31"/>
      <c r="S55" s="3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>
      <c r="A56" s="85"/>
      <c r="B56" s="21"/>
      <c r="C56" s="21"/>
      <c r="D56" s="21"/>
      <c r="E56" s="21"/>
      <c r="F56" s="21"/>
      <c r="G56" s="74"/>
      <c r="H56" s="76"/>
      <c r="I56" s="21"/>
      <c r="J56" s="86"/>
      <c r="K56" s="31"/>
      <c r="L56" s="31"/>
      <c r="M56" s="31"/>
      <c r="N56" s="31"/>
      <c r="O56" s="31"/>
      <c r="P56" s="31"/>
      <c r="Q56" s="31"/>
      <c r="R56" s="31"/>
      <c r="S56" s="3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>
      <c r="A57" s="85"/>
      <c r="B57" s="21"/>
      <c r="C57" s="21"/>
      <c r="D57" s="21"/>
      <c r="E57" s="21"/>
      <c r="F57" s="21"/>
      <c r="G57" s="74"/>
      <c r="H57" s="76"/>
      <c r="I57" s="21"/>
      <c r="J57" s="86"/>
      <c r="K57" s="31"/>
      <c r="L57" s="31"/>
      <c r="M57" s="31"/>
      <c r="N57" s="31"/>
      <c r="O57" s="31"/>
      <c r="P57" s="31"/>
      <c r="Q57" s="31"/>
      <c r="R57" s="31"/>
      <c r="S57" s="3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>
      <c r="A58" s="85"/>
      <c r="B58" s="21"/>
      <c r="C58" s="21"/>
      <c r="D58" s="21"/>
      <c r="E58" s="21"/>
      <c r="F58" s="21"/>
      <c r="G58" s="74"/>
      <c r="H58" s="76"/>
      <c r="I58" s="21"/>
      <c r="J58" s="86"/>
      <c r="K58" s="31"/>
      <c r="L58" s="31"/>
      <c r="M58" s="31"/>
      <c r="N58" s="31"/>
      <c r="O58" s="31"/>
      <c r="P58" s="31"/>
      <c r="Q58" s="31"/>
      <c r="R58" s="31"/>
      <c r="S58" s="3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>
      <c r="A59" s="85"/>
      <c r="B59" s="21"/>
      <c r="C59" s="21"/>
      <c r="D59" s="21"/>
      <c r="E59" s="21"/>
      <c r="F59" s="21"/>
      <c r="G59" s="74"/>
      <c r="H59" s="76"/>
      <c r="I59" s="21"/>
      <c r="J59" s="86"/>
      <c r="K59" s="31"/>
      <c r="L59" s="31"/>
      <c r="M59" s="31"/>
      <c r="N59" s="31"/>
      <c r="O59" s="31"/>
      <c r="P59" s="31"/>
      <c r="Q59" s="31"/>
      <c r="R59" s="31"/>
      <c r="S59" s="3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>
      <c r="A60" s="85"/>
      <c r="B60" s="21"/>
      <c r="C60" s="21"/>
      <c r="D60" s="21"/>
      <c r="E60" s="21"/>
      <c r="F60" s="21"/>
      <c r="G60" s="74"/>
      <c r="H60" s="76"/>
      <c r="I60" s="21"/>
      <c r="J60" s="86"/>
      <c r="K60" s="31"/>
      <c r="L60" s="31"/>
      <c r="M60" s="31"/>
      <c r="N60" s="31"/>
      <c r="O60" s="31"/>
      <c r="P60" s="31"/>
      <c r="Q60" s="31"/>
      <c r="R60" s="31"/>
      <c r="S60" s="3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>
      <c r="A61" s="85"/>
      <c r="B61" s="21"/>
      <c r="C61" s="21"/>
      <c r="D61" s="21"/>
      <c r="E61" s="21"/>
      <c r="F61" s="21"/>
      <c r="G61" s="74"/>
      <c r="H61" s="76"/>
      <c r="I61" s="21"/>
      <c r="J61" s="86"/>
      <c r="K61" s="31"/>
      <c r="L61" s="31"/>
      <c r="M61" s="31"/>
      <c r="N61" s="31"/>
      <c r="O61" s="31"/>
      <c r="P61" s="31"/>
      <c r="Q61" s="31"/>
      <c r="R61" s="31"/>
      <c r="S61" s="3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>
      <c r="A62" s="85"/>
      <c r="B62" s="21"/>
      <c r="C62" s="21"/>
      <c r="D62" s="21"/>
      <c r="E62" s="21"/>
      <c r="F62" s="21"/>
      <c r="G62" s="74"/>
      <c r="H62" s="76"/>
      <c r="I62" s="21"/>
      <c r="J62" s="86"/>
      <c r="K62" s="31"/>
      <c r="L62" s="31"/>
      <c r="M62" s="31"/>
      <c r="N62" s="31"/>
      <c r="O62" s="31"/>
      <c r="P62" s="31"/>
      <c r="Q62" s="31"/>
      <c r="R62" s="31"/>
      <c r="S62" s="3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>
      <c r="A63" s="85"/>
      <c r="B63" s="21"/>
      <c r="C63" s="21"/>
      <c r="D63" s="21"/>
      <c r="E63" s="21"/>
      <c r="F63" s="21"/>
      <c r="G63" s="74"/>
      <c r="H63" s="76"/>
      <c r="I63" s="21"/>
      <c r="J63" s="86"/>
      <c r="K63" s="31"/>
      <c r="L63" s="31"/>
      <c r="M63" s="31"/>
      <c r="N63" s="31"/>
      <c r="O63" s="31"/>
      <c r="P63" s="31"/>
      <c r="Q63" s="31"/>
      <c r="R63" s="31"/>
      <c r="S63" s="3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>
      <c r="A64" s="85"/>
      <c r="B64" s="21"/>
      <c r="C64" s="21"/>
      <c r="D64" s="21"/>
      <c r="E64" s="21"/>
      <c r="F64" s="21"/>
      <c r="G64" s="74"/>
      <c r="H64" s="76"/>
      <c r="I64" s="21"/>
      <c r="J64" s="86"/>
      <c r="K64" s="31"/>
      <c r="L64" s="31"/>
      <c r="M64" s="31"/>
      <c r="N64" s="31"/>
      <c r="O64" s="31"/>
      <c r="P64" s="31"/>
      <c r="Q64" s="31"/>
      <c r="R64" s="31"/>
      <c r="S64" s="3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85"/>
      <c r="B65" s="21"/>
      <c r="C65" s="21"/>
      <c r="D65" s="21"/>
      <c r="E65" s="21"/>
      <c r="F65" s="21"/>
      <c r="G65" s="74"/>
      <c r="H65" s="76"/>
      <c r="I65" s="21"/>
      <c r="J65" s="86"/>
      <c r="K65" s="31"/>
      <c r="L65" s="31"/>
      <c r="M65" s="31"/>
      <c r="N65" s="31"/>
      <c r="O65" s="31"/>
      <c r="P65" s="31"/>
      <c r="Q65" s="31"/>
      <c r="R65" s="31"/>
      <c r="S65" s="3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>
      <c r="A66" s="85"/>
      <c r="B66" s="21"/>
      <c r="C66" s="21"/>
      <c r="D66" s="21"/>
      <c r="E66" s="21"/>
      <c r="F66" s="21"/>
      <c r="G66" s="74"/>
      <c r="H66" s="76"/>
      <c r="I66" s="21"/>
      <c r="J66" s="86"/>
      <c r="K66" s="31"/>
      <c r="L66" s="31"/>
      <c r="M66" s="31"/>
      <c r="N66" s="31"/>
      <c r="O66" s="31"/>
      <c r="P66" s="31"/>
      <c r="Q66" s="31"/>
      <c r="R66" s="31"/>
      <c r="S66" s="3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>
      <c r="A67" s="85"/>
      <c r="B67" s="21"/>
      <c r="C67" s="21"/>
      <c r="D67" s="21"/>
      <c r="E67" s="21"/>
      <c r="F67" s="21"/>
      <c r="G67" s="74"/>
      <c r="H67" s="76"/>
      <c r="I67" s="21"/>
      <c r="J67" s="86"/>
      <c r="K67" s="31"/>
      <c r="L67" s="31"/>
      <c r="M67" s="31"/>
      <c r="N67" s="31"/>
      <c r="O67" s="31"/>
      <c r="P67" s="31"/>
      <c r="Q67" s="31"/>
      <c r="R67" s="31"/>
      <c r="S67" s="3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>
      <c r="A68" s="85"/>
      <c r="B68" s="21"/>
      <c r="C68" s="21"/>
      <c r="D68" s="21"/>
      <c r="E68" s="21"/>
      <c r="F68" s="21"/>
      <c r="G68" s="74"/>
      <c r="H68" s="76"/>
      <c r="I68" s="21"/>
      <c r="J68" s="86"/>
      <c r="K68" s="31"/>
      <c r="L68" s="31"/>
      <c r="M68" s="31"/>
      <c r="N68" s="31"/>
      <c r="O68" s="31"/>
      <c r="P68" s="31"/>
      <c r="Q68" s="31"/>
      <c r="R68" s="31"/>
      <c r="S68" s="3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>
      <c r="A69" s="85"/>
      <c r="B69" s="21"/>
      <c r="C69" s="21"/>
      <c r="D69" s="21"/>
      <c r="E69" s="21"/>
      <c r="F69" s="21"/>
      <c r="G69" s="74"/>
      <c r="H69" s="76"/>
      <c r="I69" s="21"/>
      <c r="J69" s="86"/>
      <c r="K69" s="31"/>
      <c r="L69" s="31"/>
      <c r="M69" s="31"/>
      <c r="N69" s="31"/>
      <c r="O69" s="31"/>
      <c r="P69" s="31"/>
      <c r="Q69" s="31"/>
      <c r="R69" s="31"/>
      <c r="S69" s="3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>
      <c r="A70" s="85"/>
      <c r="B70" s="21"/>
      <c r="C70" s="21"/>
      <c r="D70" s="21"/>
      <c r="E70" s="21"/>
      <c r="F70" s="21"/>
      <c r="G70" s="74"/>
      <c r="H70" s="76"/>
      <c r="I70" s="21"/>
      <c r="J70" s="86"/>
      <c r="K70" s="31"/>
      <c r="L70" s="31"/>
      <c r="M70" s="31"/>
      <c r="N70" s="31"/>
      <c r="O70" s="31"/>
      <c r="P70" s="31"/>
      <c r="Q70" s="31"/>
      <c r="R70" s="31"/>
      <c r="S70" s="3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>
      <c r="A71" s="85"/>
      <c r="B71" s="21"/>
      <c r="C71" s="21"/>
      <c r="D71" s="21"/>
      <c r="E71" s="21"/>
      <c r="F71" s="21"/>
      <c r="G71" s="74"/>
      <c r="H71" s="76"/>
      <c r="I71" s="21"/>
      <c r="J71" s="86"/>
      <c r="K71" s="31"/>
      <c r="L71" s="31"/>
      <c r="M71" s="31"/>
      <c r="N71" s="31"/>
      <c r="O71" s="31"/>
      <c r="P71" s="31"/>
      <c r="Q71" s="31"/>
      <c r="R71" s="31"/>
      <c r="S71" s="3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>
      <c r="A72" s="85"/>
      <c r="B72" s="21"/>
      <c r="C72" s="21"/>
      <c r="D72" s="21"/>
      <c r="E72" s="21"/>
      <c r="F72" s="21"/>
      <c r="G72" s="74"/>
      <c r="H72" s="76"/>
      <c r="I72" s="21"/>
      <c r="J72" s="86"/>
      <c r="K72" s="31"/>
      <c r="L72" s="31"/>
      <c r="M72" s="31"/>
      <c r="N72" s="31"/>
      <c r="O72" s="31"/>
      <c r="P72" s="31"/>
      <c r="Q72" s="31"/>
      <c r="R72" s="31"/>
      <c r="S72" s="3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>
      <c r="A73" s="85"/>
      <c r="B73" s="21"/>
      <c r="C73" s="21"/>
      <c r="D73" s="21"/>
      <c r="E73" s="21"/>
      <c r="F73" s="21"/>
      <c r="G73" s="74"/>
      <c r="H73" s="76"/>
      <c r="I73" s="21"/>
      <c r="J73" s="86"/>
      <c r="K73" s="31"/>
      <c r="L73" s="31"/>
      <c r="M73" s="31"/>
      <c r="N73" s="31"/>
      <c r="O73" s="31"/>
      <c r="P73" s="31"/>
      <c r="Q73" s="31"/>
      <c r="R73" s="31"/>
      <c r="S73" s="3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>
      <c r="A74" s="85"/>
      <c r="B74" s="21"/>
      <c r="C74" s="21"/>
      <c r="D74" s="21"/>
      <c r="E74" s="21"/>
      <c r="F74" s="21"/>
      <c r="G74" s="74"/>
      <c r="H74" s="76"/>
      <c r="I74" s="21"/>
      <c r="J74" s="86"/>
      <c r="K74" s="31"/>
      <c r="L74" s="31"/>
      <c r="M74" s="31"/>
      <c r="N74" s="31"/>
      <c r="O74" s="31"/>
      <c r="P74" s="31"/>
      <c r="Q74" s="31"/>
      <c r="R74" s="31"/>
      <c r="S74" s="3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>
      <c r="A75" s="85"/>
      <c r="B75" s="21"/>
      <c r="C75" s="21"/>
      <c r="D75" s="21"/>
      <c r="E75" s="21"/>
      <c r="F75" s="21"/>
      <c r="G75" s="74"/>
      <c r="H75" s="76"/>
      <c r="I75" s="21"/>
      <c r="J75" s="86"/>
      <c r="K75" s="31"/>
      <c r="L75" s="31"/>
      <c r="M75" s="31"/>
      <c r="N75" s="31"/>
      <c r="O75" s="31"/>
      <c r="P75" s="31"/>
      <c r="Q75" s="31"/>
      <c r="R75" s="31"/>
      <c r="S75" s="3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35">
      <c r="A76" s="85"/>
      <c r="B76" s="21"/>
      <c r="C76" s="21"/>
      <c r="D76" s="21"/>
      <c r="E76" s="21"/>
      <c r="F76" s="21"/>
      <c r="G76" s="74"/>
      <c r="H76" s="76"/>
      <c r="I76" s="21"/>
      <c r="J76" s="86"/>
      <c r="K76" s="31"/>
      <c r="L76" s="31"/>
      <c r="M76" s="31"/>
      <c r="N76" s="31"/>
      <c r="O76" s="31"/>
      <c r="P76" s="31"/>
      <c r="Q76" s="31"/>
      <c r="R76" s="31"/>
      <c r="S76" s="3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</row>
    <row r="77" spans="1:35">
      <c r="A77" s="85"/>
      <c r="B77" s="21"/>
      <c r="C77" s="21"/>
      <c r="D77" s="21"/>
      <c r="E77" s="21"/>
      <c r="F77" s="21"/>
      <c r="G77" s="74"/>
      <c r="H77" s="76"/>
      <c r="I77" s="21"/>
      <c r="J77" s="86"/>
      <c r="K77" s="31"/>
      <c r="L77" s="31"/>
      <c r="M77" s="31"/>
      <c r="N77" s="31"/>
      <c r="O77" s="31"/>
      <c r="P77" s="31"/>
      <c r="Q77" s="31"/>
      <c r="R77" s="31"/>
      <c r="S77" s="3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  <row r="78" spans="1:35">
      <c r="A78" s="85"/>
      <c r="B78" s="21"/>
      <c r="C78" s="21"/>
      <c r="D78" s="21"/>
      <c r="E78" s="21"/>
      <c r="F78" s="21"/>
      <c r="G78" s="74"/>
      <c r="H78" s="76"/>
      <c r="I78" s="21"/>
      <c r="J78" s="86"/>
      <c r="K78" s="31"/>
      <c r="L78" s="31"/>
      <c r="M78" s="31"/>
      <c r="N78" s="31"/>
      <c r="O78" s="31"/>
      <c r="P78" s="31"/>
      <c r="Q78" s="31"/>
      <c r="R78" s="31"/>
      <c r="S78" s="3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</row>
    <row r="79" spans="1:35">
      <c r="A79" s="85"/>
      <c r="B79" s="21"/>
      <c r="C79" s="21"/>
      <c r="D79" s="21"/>
      <c r="E79" s="21"/>
      <c r="F79" s="21"/>
      <c r="G79" s="74"/>
      <c r="H79" s="76"/>
      <c r="I79" s="21"/>
      <c r="J79" s="86"/>
      <c r="K79" s="31"/>
      <c r="L79" s="31"/>
      <c r="M79" s="31"/>
      <c r="N79" s="31"/>
      <c r="O79" s="31"/>
      <c r="P79" s="31"/>
      <c r="Q79" s="31"/>
      <c r="R79" s="31"/>
      <c r="S79" s="3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</row>
    <row r="80" spans="1:35">
      <c r="A80" s="85"/>
      <c r="B80" s="21"/>
      <c r="C80" s="21"/>
      <c r="D80" s="21"/>
      <c r="E80" s="21"/>
      <c r="F80" s="21"/>
      <c r="G80" s="74"/>
      <c r="H80" s="76"/>
      <c r="I80" s="21"/>
      <c r="J80" s="86"/>
      <c r="K80" s="31"/>
      <c r="L80" s="31"/>
      <c r="M80" s="31"/>
      <c r="N80" s="31"/>
      <c r="O80" s="31"/>
      <c r="P80" s="31"/>
      <c r="Q80" s="31"/>
      <c r="R80" s="31"/>
      <c r="S80" s="3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</row>
    <row r="81" spans="1:35">
      <c r="A81" s="85"/>
      <c r="B81" s="21"/>
      <c r="C81" s="21"/>
      <c r="D81" s="21"/>
      <c r="E81" s="21"/>
      <c r="F81" s="21"/>
      <c r="G81" s="74"/>
      <c r="H81" s="76"/>
      <c r="I81" s="21"/>
      <c r="J81" s="86"/>
      <c r="K81" s="31"/>
      <c r="L81" s="31"/>
      <c r="M81" s="31"/>
      <c r="N81" s="31"/>
      <c r="O81" s="31"/>
      <c r="P81" s="31"/>
      <c r="Q81" s="31"/>
      <c r="R81" s="31"/>
      <c r="S81" s="3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</row>
    <row r="82" spans="1:35">
      <c r="A82" s="85"/>
      <c r="B82" s="21"/>
      <c r="C82" s="21"/>
      <c r="D82" s="21"/>
      <c r="E82" s="21"/>
      <c r="F82" s="21"/>
      <c r="G82" s="74"/>
      <c r="H82" s="76"/>
      <c r="I82" s="21"/>
      <c r="J82" s="86"/>
      <c r="K82" s="31"/>
      <c r="L82" s="31"/>
      <c r="M82" s="31"/>
      <c r="N82" s="31"/>
      <c r="O82" s="31"/>
      <c r="P82" s="31"/>
      <c r="Q82" s="31"/>
      <c r="R82" s="31"/>
      <c r="S82" s="3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</row>
    <row r="83" spans="1:35">
      <c r="A83" s="85"/>
      <c r="B83" s="21"/>
      <c r="C83" s="21"/>
      <c r="D83" s="21"/>
      <c r="E83" s="21"/>
      <c r="F83" s="21"/>
      <c r="G83" s="74"/>
      <c r="H83" s="76"/>
      <c r="I83" s="21"/>
      <c r="J83" s="86"/>
      <c r="K83" s="31"/>
      <c r="L83" s="31"/>
      <c r="M83" s="31"/>
      <c r="N83" s="31"/>
      <c r="O83" s="31"/>
      <c r="P83" s="31"/>
      <c r="Q83" s="31"/>
      <c r="R83" s="31"/>
      <c r="S83" s="3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</row>
    <row r="84" spans="1:35">
      <c r="A84" s="85"/>
      <c r="B84" s="21"/>
      <c r="C84" s="21"/>
      <c r="D84" s="21"/>
      <c r="E84" s="21"/>
      <c r="F84" s="21"/>
      <c r="G84" s="74"/>
      <c r="H84" s="76"/>
      <c r="I84" s="21"/>
      <c r="J84" s="86"/>
      <c r="K84" s="31"/>
      <c r="L84" s="31"/>
      <c r="M84" s="31"/>
      <c r="N84" s="31"/>
      <c r="O84" s="31"/>
      <c r="P84" s="31"/>
      <c r="Q84" s="31"/>
      <c r="R84" s="31"/>
      <c r="S84" s="3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</row>
    <row r="85" spans="1:35">
      <c r="A85" s="85"/>
      <c r="B85" s="21"/>
      <c r="C85" s="21"/>
      <c r="D85" s="21"/>
      <c r="E85" s="21"/>
      <c r="F85" s="21"/>
      <c r="G85" s="74"/>
      <c r="H85" s="76"/>
      <c r="I85" s="21"/>
      <c r="J85" s="86"/>
      <c r="K85" s="31"/>
      <c r="L85" s="31"/>
      <c r="M85" s="31"/>
      <c r="N85" s="31"/>
      <c r="O85" s="31"/>
      <c r="P85" s="31"/>
      <c r="Q85" s="31"/>
      <c r="R85" s="31"/>
      <c r="S85" s="3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</row>
    <row r="86" spans="1:35">
      <c r="A86" s="85"/>
      <c r="B86" s="21"/>
      <c r="C86" s="21"/>
      <c r="D86" s="21"/>
      <c r="E86" s="21"/>
      <c r="F86" s="21"/>
      <c r="G86" s="74"/>
      <c r="H86" s="76"/>
      <c r="I86" s="21"/>
      <c r="J86" s="86"/>
      <c r="K86" s="31"/>
      <c r="L86" s="31"/>
      <c r="M86" s="31"/>
      <c r="N86" s="31"/>
      <c r="O86" s="31"/>
      <c r="P86" s="31"/>
      <c r="Q86" s="31"/>
      <c r="R86" s="31"/>
      <c r="S86" s="3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</row>
    <row r="87" spans="1:35">
      <c r="A87" s="85"/>
      <c r="B87" s="21"/>
      <c r="C87" s="21"/>
      <c r="D87" s="21"/>
      <c r="E87" s="21"/>
      <c r="F87" s="21"/>
      <c r="G87" s="74"/>
      <c r="H87" s="76"/>
      <c r="I87" s="21"/>
      <c r="J87" s="86"/>
      <c r="K87" s="31"/>
      <c r="L87" s="31"/>
      <c r="M87" s="31"/>
      <c r="N87" s="31"/>
      <c r="O87" s="31"/>
      <c r="P87" s="31"/>
      <c r="Q87" s="31"/>
      <c r="R87" s="31"/>
      <c r="S87" s="3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</row>
    <row r="88" spans="1:35">
      <c r="A88" s="85"/>
      <c r="B88" s="21"/>
      <c r="C88" s="21"/>
      <c r="D88" s="21"/>
      <c r="E88" s="21"/>
      <c r="F88" s="21"/>
      <c r="G88" s="74"/>
      <c r="H88" s="76"/>
      <c r="I88" s="21"/>
      <c r="J88" s="86"/>
      <c r="K88" s="31"/>
      <c r="L88" s="31"/>
      <c r="M88" s="31"/>
      <c r="N88" s="31"/>
      <c r="O88" s="31"/>
      <c r="P88" s="31"/>
      <c r="Q88" s="31"/>
      <c r="R88" s="31"/>
      <c r="S88" s="3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</row>
    <row r="89" spans="1:35">
      <c r="A89" s="85"/>
      <c r="B89" s="21"/>
      <c r="C89" s="21"/>
      <c r="D89" s="21"/>
      <c r="E89" s="21"/>
      <c r="F89" s="21"/>
      <c r="G89" s="74"/>
      <c r="H89" s="76"/>
      <c r="I89" s="21"/>
      <c r="J89" s="86"/>
      <c r="K89" s="31"/>
      <c r="L89" s="31"/>
      <c r="M89" s="31"/>
      <c r="N89" s="31"/>
      <c r="O89" s="31"/>
      <c r="P89" s="31"/>
      <c r="Q89" s="31"/>
      <c r="R89" s="31"/>
      <c r="S89" s="3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</row>
    <row r="90" spans="1:35">
      <c r="A90" s="85"/>
      <c r="B90" s="21"/>
      <c r="C90" s="21"/>
      <c r="D90" s="21"/>
      <c r="E90" s="21"/>
      <c r="F90" s="21"/>
      <c r="G90" s="74"/>
      <c r="H90" s="76"/>
      <c r="I90" s="21"/>
      <c r="J90" s="86"/>
      <c r="K90" s="31"/>
      <c r="L90" s="31"/>
      <c r="M90" s="31"/>
      <c r="N90" s="31"/>
      <c r="O90" s="31"/>
      <c r="P90" s="31"/>
      <c r="Q90" s="31"/>
      <c r="R90" s="31"/>
      <c r="S90" s="3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</row>
    <row r="91" spans="1:35">
      <c r="A91" s="85"/>
      <c r="B91" s="21"/>
      <c r="C91" s="21"/>
      <c r="D91" s="21"/>
      <c r="E91" s="21"/>
      <c r="F91" s="21"/>
      <c r="G91" s="74"/>
      <c r="H91" s="76"/>
      <c r="I91" s="21"/>
      <c r="J91" s="86"/>
      <c r="K91" s="31"/>
      <c r="L91" s="31"/>
      <c r="M91" s="31"/>
      <c r="N91" s="31"/>
      <c r="O91" s="31"/>
      <c r="P91" s="31"/>
      <c r="Q91" s="31"/>
      <c r="R91" s="31"/>
      <c r="S91" s="3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</row>
    <row r="92" spans="1:35">
      <c r="A92" s="85"/>
      <c r="B92" s="21"/>
      <c r="C92" s="21"/>
      <c r="D92" s="21"/>
      <c r="E92" s="21"/>
      <c r="F92" s="21"/>
      <c r="G92" s="74"/>
      <c r="H92" s="76"/>
      <c r="I92" s="21"/>
      <c r="J92" s="86"/>
      <c r="K92" s="31"/>
      <c r="L92" s="31"/>
      <c r="M92" s="31"/>
      <c r="N92" s="31"/>
      <c r="O92" s="31"/>
      <c r="P92" s="31"/>
      <c r="Q92" s="31"/>
      <c r="R92" s="31"/>
      <c r="S92" s="3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</row>
    <row r="93" spans="1:35">
      <c r="A93" s="85"/>
      <c r="B93" s="21"/>
      <c r="C93" s="21"/>
      <c r="D93" s="21"/>
      <c r="E93" s="21"/>
      <c r="F93" s="21"/>
      <c r="G93" s="74"/>
      <c r="H93" s="76"/>
      <c r="I93" s="21"/>
      <c r="J93" s="86"/>
      <c r="K93" s="31"/>
      <c r="L93" s="31"/>
      <c r="M93" s="31"/>
      <c r="N93" s="31"/>
      <c r="O93" s="31"/>
      <c r="P93" s="31"/>
      <c r="Q93" s="31"/>
      <c r="R93" s="31"/>
      <c r="S93" s="3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</row>
    <row r="94" spans="1:35">
      <c r="A94" s="85"/>
      <c r="B94" s="21"/>
      <c r="C94" s="21"/>
      <c r="D94" s="21"/>
      <c r="E94" s="21"/>
      <c r="F94" s="21"/>
      <c r="G94" s="74"/>
      <c r="H94" s="76"/>
      <c r="I94" s="21"/>
      <c r="J94" s="86"/>
      <c r="K94" s="31"/>
      <c r="L94" s="31"/>
      <c r="M94" s="31"/>
      <c r="N94" s="31"/>
      <c r="O94" s="31"/>
      <c r="P94" s="31"/>
      <c r="Q94" s="31"/>
      <c r="R94" s="31"/>
      <c r="S94" s="3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</row>
    <row r="95" spans="1:35">
      <c r="A95" s="85"/>
      <c r="B95" s="21"/>
      <c r="C95" s="21"/>
      <c r="D95" s="21"/>
      <c r="E95" s="21"/>
      <c r="F95" s="21"/>
      <c r="G95" s="74"/>
      <c r="H95" s="76"/>
      <c r="I95" s="21"/>
      <c r="J95" s="86"/>
      <c r="K95" s="31"/>
      <c r="L95" s="31"/>
      <c r="M95" s="31"/>
      <c r="N95" s="31"/>
      <c r="O95" s="31"/>
      <c r="P95" s="31"/>
      <c r="Q95" s="31"/>
      <c r="R95" s="31"/>
      <c r="S95" s="3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</row>
    <row r="96" spans="1:35">
      <c r="A96" s="85"/>
      <c r="B96" s="21"/>
      <c r="C96" s="21"/>
      <c r="D96" s="21"/>
      <c r="E96" s="21"/>
      <c r="F96" s="21"/>
      <c r="G96" s="74"/>
      <c r="H96" s="76"/>
      <c r="I96" s="21"/>
      <c r="J96" s="86"/>
      <c r="K96" s="31"/>
      <c r="L96" s="31"/>
      <c r="M96" s="31"/>
      <c r="N96" s="31"/>
      <c r="O96" s="31"/>
      <c r="P96" s="31"/>
      <c r="Q96" s="31"/>
      <c r="R96" s="31"/>
      <c r="S96" s="3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</row>
    <row r="97" spans="1:35">
      <c r="A97" s="85"/>
      <c r="B97" s="21"/>
      <c r="C97" s="21"/>
      <c r="D97" s="21"/>
      <c r="E97" s="21"/>
      <c r="F97" s="21"/>
      <c r="G97" s="74"/>
      <c r="H97" s="76"/>
      <c r="I97" s="21"/>
      <c r="J97" s="86"/>
      <c r="K97" s="31"/>
      <c r="L97" s="31"/>
      <c r="M97" s="31"/>
      <c r="N97" s="31"/>
      <c r="O97" s="31"/>
      <c r="P97" s="31"/>
      <c r="Q97" s="31"/>
      <c r="R97" s="31"/>
      <c r="S97" s="3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</row>
    <row r="98" spans="1:35">
      <c r="A98" s="85"/>
      <c r="B98" s="21"/>
      <c r="C98" s="21"/>
      <c r="D98" s="21"/>
      <c r="E98" s="21"/>
      <c r="F98" s="21"/>
      <c r="G98" s="74"/>
      <c r="H98" s="76"/>
      <c r="I98" s="21"/>
      <c r="J98" s="86"/>
      <c r="K98" s="31"/>
      <c r="L98" s="31"/>
      <c r="M98" s="31"/>
      <c r="N98" s="31"/>
      <c r="O98" s="31"/>
      <c r="P98" s="31"/>
      <c r="Q98" s="31"/>
      <c r="R98" s="31"/>
      <c r="S98" s="3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</row>
    <row r="99" spans="1:35">
      <c r="A99" s="85"/>
      <c r="B99" s="21"/>
      <c r="C99" s="21"/>
      <c r="D99" s="21"/>
      <c r="E99" s="21"/>
      <c r="F99" s="21"/>
      <c r="G99" s="74"/>
      <c r="H99" s="76"/>
      <c r="I99" s="21"/>
      <c r="J99" s="86"/>
      <c r="K99" s="31"/>
      <c r="L99" s="31"/>
      <c r="M99" s="31"/>
      <c r="N99" s="31"/>
      <c r="O99" s="31"/>
      <c r="P99" s="31"/>
      <c r="Q99" s="31"/>
      <c r="R99" s="31"/>
      <c r="S99" s="3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</row>
    <row r="100" spans="1:35">
      <c r="A100" s="85"/>
      <c r="B100" s="21"/>
      <c r="C100" s="21"/>
      <c r="D100" s="21"/>
      <c r="E100" s="21"/>
      <c r="F100" s="21"/>
      <c r="G100" s="74"/>
      <c r="H100" s="76"/>
      <c r="I100" s="21"/>
      <c r="J100" s="86"/>
      <c r="K100" s="31"/>
      <c r="L100" s="31"/>
      <c r="M100" s="31"/>
      <c r="N100" s="31"/>
      <c r="O100" s="31"/>
      <c r="P100" s="31"/>
      <c r="Q100" s="31"/>
      <c r="R100" s="31"/>
      <c r="S100" s="3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</row>
    <row r="101" spans="1:35">
      <c r="A101" s="85"/>
      <c r="B101" s="21"/>
      <c r="C101" s="21"/>
      <c r="D101" s="21"/>
      <c r="E101" s="21"/>
      <c r="F101" s="21"/>
      <c r="G101" s="74"/>
      <c r="H101" s="76"/>
      <c r="I101" s="21"/>
      <c r="J101" s="86"/>
      <c r="K101" s="31"/>
      <c r="L101" s="31"/>
      <c r="M101" s="31"/>
      <c r="N101" s="31"/>
      <c r="O101" s="31"/>
      <c r="P101" s="31"/>
      <c r="Q101" s="31"/>
      <c r="R101" s="31"/>
      <c r="S101" s="3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</row>
    <row r="102" spans="1:35">
      <c r="A102" s="85"/>
      <c r="B102" s="21"/>
      <c r="C102" s="21"/>
      <c r="D102" s="21"/>
      <c r="E102" s="21"/>
      <c r="F102" s="21"/>
      <c r="G102" s="74"/>
      <c r="H102" s="76"/>
      <c r="I102" s="21"/>
      <c r="J102" s="86"/>
      <c r="K102" s="31"/>
      <c r="L102" s="31"/>
      <c r="M102" s="31"/>
      <c r="N102" s="31"/>
      <c r="O102" s="31"/>
      <c r="P102" s="31"/>
      <c r="Q102" s="31"/>
      <c r="R102" s="31"/>
      <c r="S102" s="3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</row>
    <row r="103" spans="1:35">
      <c r="A103" s="85"/>
      <c r="B103" s="21"/>
      <c r="C103" s="21"/>
      <c r="D103" s="21"/>
      <c r="E103" s="21"/>
      <c r="F103" s="21"/>
      <c r="G103" s="74"/>
      <c r="H103" s="76"/>
      <c r="I103" s="21"/>
      <c r="J103" s="86"/>
      <c r="K103" s="31"/>
      <c r="L103" s="31"/>
      <c r="M103" s="31"/>
      <c r="N103" s="31"/>
      <c r="O103" s="31"/>
      <c r="P103" s="31"/>
      <c r="Q103" s="31"/>
      <c r="R103" s="31"/>
      <c r="S103" s="3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</row>
    <row r="104" spans="1:35">
      <c r="A104" s="85"/>
      <c r="B104" s="21"/>
      <c r="C104" s="21"/>
      <c r="D104" s="21"/>
      <c r="E104" s="21"/>
      <c r="F104" s="21"/>
      <c r="G104" s="74"/>
      <c r="H104" s="76"/>
      <c r="I104" s="21"/>
      <c r="J104" s="86"/>
      <c r="K104" s="31"/>
      <c r="L104" s="31"/>
      <c r="M104" s="31"/>
      <c r="N104" s="31"/>
      <c r="O104" s="31"/>
      <c r="P104" s="31"/>
      <c r="Q104" s="31"/>
      <c r="R104" s="31"/>
      <c r="S104" s="3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</row>
    <row r="105" spans="1:35">
      <c r="A105" s="85"/>
      <c r="B105" s="21"/>
      <c r="C105" s="21"/>
      <c r="D105" s="21"/>
      <c r="E105" s="21"/>
      <c r="F105" s="21"/>
      <c r="G105" s="74"/>
      <c r="H105" s="76"/>
      <c r="I105" s="21"/>
      <c r="J105" s="86"/>
      <c r="K105" s="31"/>
      <c r="L105" s="31"/>
      <c r="M105" s="31"/>
      <c r="N105" s="31"/>
      <c r="O105" s="31"/>
      <c r="P105" s="31"/>
      <c r="Q105" s="31"/>
      <c r="R105" s="31"/>
      <c r="S105" s="3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</row>
    <row r="106" spans="1:35">
      <c r="A106" s="85"/>
      <c r="B106" s="21"/>
      <c r="C106" s="21"/>
      <c r="D106" s="21"/>
      <c r="E106" s="21"/>
      <c r="F106" s="21"/>
      <c r="G106" s="74"/>
      <c r="H106" s="76"/>
      <c r="I106" s="21"/>
      <c r="J106" s="86"/>
      <c r="K106" s="31"/>
      <c r="L106" s="31"/>
      <c r="M106" s="31"/>
      <c r="N106" s="31"/>
      <c r="O106" s="31"/>
      <c r="P106" s="31"/>
      <c r="Q106" s="31"/>
      <c r="R106" s="31"/>
      <c r="S106" s="3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</row>
    <row r="107" spans="1:35">
      <c r="A107" s="85"/>
      <c r="B107" s="21"/>
      <c r="C107" s="21"/>
      <c r="D107" s="21"/>
      <c r="E107" s="21"/>
      <c r="F107" s="21"/>
      <c r="G107" s="74"/>
      <c r="H107" s="76"/>
      <c r="I107" s="21"/>
      <c r="J107" s="86"/>
      <c r="K107" s="31"/>
      <c r="L107" s="31"/>
      <c r="M107" s="31"/>
      <c r="N107" s="31"/>
      <c r="O107" s="31"/>
      <c r="P107" s="31"/>
      <c r="Q107" s="31"/>
      <c r="R107" s="31"/>
      <c r="S107" s="3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</row>
    <row r="108" spans="1:35">
      <c r="A108" s="85"/>
      <c r="B108" s="21"/>
      <c r="C108" s="21"/>
      <c r="D108" s="21"/>
      <c r="E108" s="21"/>
      <c r="F108" s="21"/>
      <c r="G108" s="74"/>
      <c r="H108" s="76"/>
      <c r="I108" s="21"/>
      <c r="J108" s="86"/>
      <c r="K108" s="31"/>
      <c r="L108" s="31"/>
      <c r="M108" s="31"/>
      <c r="N108" s="31"/>
      <c r="O108" s="31"/>
      <c r="P108" s="31"/>
      <c r="Q108" s="31"/>
      <c r="R108" s="31"/>
      <c r="S108" s="3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35">
      <c r="A109" s="85"/>
      <c r="B109" s="21"/>
      <c r="C109" s="21"/>
      <c r="D109" s="21"/>
      <c r="E109" s="21"/>
      <c r="F109" s="21"/>
      <c r="G109" s="74"/>
      <c r="H109" s="76"/>
      <c r="I109" s="21"/>
      <c r="J109" s="86"/>
      <c r="K109" s="31"/>
      <c r="L109" s="31"/>
      <c r="M109" s="31"/>
      <c r="N109" s="31"/>
      <c r="O109" s="31"/>
      <c r="P109" s="31"/>
      <c r="Q109" s="31"/>
      <c r="R109" s="31"/>
      <c r="S109" s="3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</row>
    <row r="110" spans="1:35">
      <c r="A110" s="85"/>
      <c r="B110" s="21"/>
      <c r="C110" s="21"/>
      <c r="D110" s="21"/>
      <c r="E110" s="21"/>
      <c r="F110" s="21"/>
      <c r="G110" s="74"/>
      <c r="H110" s="76"/>
      <c r="I110" s="21"/>
      <c r="J110" s="86"/>
      <c r="K110" s="31"/>
      <c r="L110" s="31"/>
      <c r="M110" s="31"/>
      <c r="N110" s="31"/>
      <c r="O110" s="31"/>
      <c r="P110" s="31"/>
      <c r="Q110" s="31"/>
      <c r="R110" s="31"/>
      <c r="S110" s="3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</row>
    <row r="111" spans="1:35">
      <c r="A111" s="85"/>
      <c r="B111" s="21"/>
      <c r="C111" s="21"/>
      <c r="D111" s="21"/>
      <c r="E111" s="21"/>
      <c r="F111" s="21"/>
      <c r="G111" s="74"/>
      <c r="H111" s="76"/>
      <c r="I111" s="21"/>
      <c r="J111" s="86"/>
      <c r="K111" s="31"/>
      <c r="L111" s="31"/>
      <c r="M111" s="31"/>
      <c r="N111" s="31"/>
      <c r="O111" s="31"/>
      <c r="P111" s="31"/>
      <c r="Q111" s="31"/>
      <c r="R111" s="31"/>
      <c r="S111" s="3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</row>
    <row r="112" spans="1:35">
      <c r="A112" s="85"/>
      <c r="B112" s="21"/>
      <c r="C112" s="21"/>
      <c r="D112" s="21"/>
      <c r="E112" s="21"/>
      <c r="F112" s="21"/>
      <c r="G112" s="74"/>
      <c r="H112" s="76"/>
      <c r="I112" s="21"/>
      <c r="J112" s="86"/>
      <c r="K112" s="31"/>
      <c r="L112" s="31"/>
      <c r="M112" s="31"/>
      <c r="N112" s="31"/>
      <c r="O112" s="31"/>
      <c r="P112" s="31"/>
      <c r="Q112" s="31"/>
      <c r="R112" s="31"/>
      <c r="S112" s="3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</row>
    <row r="113" spans="1:35">
      <c r="A113" s="85"/>
      <c r="B113" s="21"/>
      <c r="C113" s="21"/>
      <c r="D113" s="21"/>
      <c r="E113" s="21"/>
      <c r="F113" s="21"/>
      <c r="G113" s="74"/>
      <c r="H113" s="76"/>
      <c r="I113" s="21"/>
      <c r="J113" s="86"/>
      <c r="K113" s="31"/>
      <c r="L113" s="31"/>
      <c r="M113" s="31"/>
      <c r="N113" s="31"/>
      <c r="O113" s="31"/>
      <c r="P113" s="31"/>
      <c r="Q113" s="31"/>
      <c r="R113" s="31"/>
      <c r="S113" s="3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</row>
    <row r="114" spans="1:35">
      <c r="A114" s="85"/>
      <c r="B114" s="21"/>
      <c r="C114" s="21"/>
      <c r="D114" s="21"/>
      <c r="E114" s="21"/>
      <c r="F114" s="21"/>
      <c r="G114" s="74"/>
      <c r="H114" s="76"/>
      <c r="I114" s="21"/>
      <c r="J114" s="86"/>
      <c r="K114" s="31"/>
      <c r="L114" s="31"/>
      <c r="M114" s="31"/>
      <c r="N114" s="31"/>
      <c r="O114" s="31"/>
      <c r="P114" s="31"/>
      <c r="Q114" s="31"/>
      <c r="R114" s="31"/>
      <c r="S114" s="3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</row>
    <row r="115" spans="1:35">
      <c r="A115" s="85"/>
      <c r="B115" s="21"/>
      <c r="C115" s="21"/>
      <c r="D115" s="21"/>
      <c r="E115" s="21"/>
      <c r="F115" s="21"/>
      <c r="G115" s="74"/>
      <c r="H115" s="76"/>
      <c r="I115" s="21"/>
      <c r="J115" s="86"/>
      <c r="K115" s="31"/>
      <c r="L115" s="31"/>
      <c r="M115" s="31"/>
      <c r="N115" s="31"/>
      <c r="O115" s="31"/>
      <c r="P115" s="31"/>
      <c r="Q115" s="31"/>
      <c r="R115" s="31"/>
      <c r="S115" s="3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</row>
    <row r="116" spans="1:35">
      <c r="A116" s="85"/>
      <c r="B116" s="21"/>
      <c r="C116" s="21"/>
      <c r="D116" s="21"/>
      <c r="E116" s="21"/>
      <c r="F116" s="21"/>
      <c r="G116" s="74"/>
      <c r="H116" s="76"/>
      <c r="I116" s="21"/>
      <c r="J116" s="86"/>
      <c r="K116" s="31"/>
      <c r="L116" s="31"/>
      <c r="M116" s="31"/>
      <c r="N116" s="31"/>
      <c r="O116" s="31"/>
      <c r="P116" s="31"/>
      <c r="Q116" s="31"/>
      <c r="R116" s="31"/>
      <c r="S116" s="3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</row>
    <row r="117" spans="1:35">
      <c r="A117" s="85"/>
      <c r="B117" s="21"/>
      <c r="C117" s="21"/>
      <c r="D117" s="21"/>
      <c r="E117" s="21"/>
      <c r="F117" s="21"/>
      <c r="G117" s="74"/>
      <c r="H117" s="76"/>
      <c r="I117" s="21"/>
      <c r="J117" s="86"/>
      <c r="K117" s="31"/>
      <c r="L117" s="31"/>
      <c r="M117" s="31"/>
      <c r="N117" s="31"/>
      <c r="O117" s="31"/>
      <c r="P117" s="31"/>
      <c r="Q117" s="31"/>
      <c r="R117" s="31"/>
      <c r="S117" s="3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</row>
    <row r="118" spans="1:35">
      <c r="A118" s="85"/>
      <c r="B118" s="21"/>
      <c r="C118" s="21"/>
      <c r="D118" s="21"/>
      <c r="E118" s="21"/>
      <c r="F118" s="21"/>
      <c r="G118" s="74"/>
      <c r="H118" s="76"/>
      <c r="I118" s="21"/>
      <c r="J118" s="86"/>
      <c r="K118" s="31"/>
      <c r="L118" s="31"/>
      <c r="M118" s="31"/>
      <c r="N118" s="31"/>
      <c r="O118" s="31"/>
      <c r="P118" s="31"/>
      <c r="Q118" s="31"/>
      <c r="R118" s="31"/>
      <c r="S118" s="3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</row>
    <row r="119" spans="1:35">
      <c r="A119" s="85"/>
      <c r="B119" s="21"/>
      <c r="C119" s="21"/>
      <c r="D119" s="21"/>
      <c r="E119" s="21"/>
      <c r="F119" s="21"/>
      <c r="G119" s="74"/>
      <c r="H119" s="76"/>
      <c r="I119" s="21"/>
      <c r="J119" s="86"/>
      <c r="K119" s="31"/>
      <c r="L119" s="31"/>
      <c r="M119" s="31"/>
      <c r="N119" s="31"/>
      <c r="O119" s="31"/>
      <c r="P119" s="31"/>
      <c r="Q119" s="31"/>
      <c r="R119" s="31"/>
      <c r="S119" s="3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</row>
    <row r="120" spans="1:35">
      <c r="A120" s="85"/>
      <c r="B120" s="21"/>
      <c r="C120" s="21"/>
      <c r="D120" s="21"/>
      <c r="E120" s="21"/>
      <c r="F120" s="21"/>
      <c r="G120" s="74"/>
      <c r="H120" s="76"/>
      <c r="I120" s="21"/>
      <c r="J120" s="86"/>
      <c r="K120" s="31"/>
      <c r="L120" s="31"/>
      <c r="M120" s="31"/>
      <c r="N120" s="31"/>
      <c r="O120" s="31"/>
      <c r="P120" s="31"/>
      <c r="Q120" s="31"/>
      <c r="R120" s="31"/>
      <c r="S120" s="3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</row>
    <row r="121" spans="1:35">
      <c r="A121" s="85"/>
      <c r="B121" s="21"/>
      <c r="C121" s="21"/>
      <c r="D121" s="21"/>
      <c r="E121" s="21"/>
      <c r="F121" s="21"/>
      <c r="G121" s="74"/>
      <c r="H121" s="76"/>
      <c r="I121" s="21"/>
      <c r="J121" s="86"/>
      <c r="K121" s="31"/>
      <c r="L121" s="31"/>
      <c r="M121" s="31"/>
      <c r="N121" s="31"/>
      <c r="O121" s="31"/>
      <c r="P121" s="31"/>
      <c r="Q121" s="31"/>
      <c r="R121" s="31"/>
      <c r="S121" s="3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</row>
    <row r="122" spans="1:35">
      <c r="A122" s="85"/>
      <c r="B122" s="21"/>
      <c r="C122" s="21"/>
      <c r="D122" s="21"/>
      <c r="E122" s="21"/>
      <c r="F122" s="21"/>
      <c r="G122" s="74"/>
      <c r="H122" s="76"/>
      <c r="I122" s="21"/>
      <c r="J122" s="86"/>
      <c r="K122" s="31"/>
      <c r="L122" s="31"/>
      <c r="M122" s="31"/>
      <c r="N122" s="31"/>
      <c r="O122" s="31"/>
      <c r="P122" s="31"/>
      <c r="Q122" s="31"/>
      <c r="R122" s="31"/>
      <c r="S122" s="3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</row>
    <row r="123" spans="1:35">
      <c r="A123" s="85"/>
      <c r="B123" s="21"/>
      <c r="C123" s="21"/>
      <c r="D123" s="21"/>
      <c r="E123" s="21"/>
      <c r="F123" s="21"/>
      <c r="G123" s="74"/>
      <c r="H123" s="76"/>
      <c r="I123" s="21"/>
      <c r="J123" s="86"/>
      <c r="K123" s="31"/>
      <c r="L123" s="31"/>
      <c r="M123" s="31"/>
      <c r="N123" s="31"/>
      <c r="O123" s="31"/>
      <c r="P123" s="31"/>
      <c r="Q123" s="31"/>
      <c r="R123" s="31"/>
      <c r="S123" s="3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</row>
    <row r="124" spans="1:35">
      <c r="A124" s="85"/>
      <c r="B124" s="21"/>
      <c r="C124" s="21"/>
      <c r="D124" s="21"/>
      <c r="E124" s="21"/>
      <c r="F124" s="21"/>
      <c r="G124" s="74"/>
      <c r="H124" s="76"/>
      <c r="I124" s="21"/>
      <c r="J124" s="86"/>
      <c r="K124" s="31"/>
      <c r="L124" s="31"/>
      <c r="M124" s="31"/>
      <c r="N124" s="31"/>
      <c r="O124" s="31"/>
      <c r="P124" s="31"/>
      <c r="Q124" s="31"/>
      <c r="R124" s="31"/>
      <c r="S124" s="3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</row>
    <row r="125" spans="1:35">
      <c r="A125" s="85"/>
      <c r="B125" s="21"/>
      <c r="C125" s="21"/>
      <c r="D125" s="21"/>
      <c r="E125" s="21"/>
      <c r="F125" s="21"/>
      <c r="G125" s="74"/>
      <c r="H125" s="76"/>
      <c r="I125" s="21"/>
      <c r="J125" s="86"/>
      <c r="K125" s="31"/>
      <c r="L125" s="31"/>
      <c r="M125" s="31"/>
      <c r="N125" s="31"/>
      <c r="O125" s="31"/>
      <c r="P125" s="31"/>
      <c r="Q125" s="31"/>
      <c r="R125" s="31"/>
      <c r="S125" s="3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</row>
    <row r="126" spans="1:35">
      <c r="A126" s="85"/>
      <c r="B126" s="21"/>
      <c r="C126" s="21"/>
      <c r="D126" s="21"/>
      <c r="E126" s="21"/>
      <c r="F126" s="21"/>
      <c r="G126" s="74"/>
      <c r="H126" s="76"/>
      <c r="I126" s="21"/>
      <c r="J126" s="86"/>
      <c r="K126" s="31"/>
      <c r="L126" s="31"/>
      <c r="M126" s="31"/>
      <c r="N126" s="31"/>
      <c r="O126" s="31"/>
      <c r="P126" s="31"/>
      <c r="Q126" s="31"/>
      <c r="R126" s="31"/>
      <c r="S126" s="3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</row>
    <row r="127" spans="1:35">
      <c r="A127" s="85"/>
      <c r="B127" s="21"/>
      <c r="C127" s="21"/>
      <c r="D127" s="21"/>
      <c r="E127" s="21"/>
      <c r="F127" s="21"/>
      <c r="G127" s="74"/>
      <c r="H127" s="76"/>
      <c r="I127" s="21"/>
      <c r="J127" s="86"/>
      <c r="K127" s="31"/>
      <c r="L127" s="31"/>
      <c r="M127" s="31"/>
      <c r="N127" s="31"/>
      <c r="O127" s="31"/>
      <c r="P127" s="31"/>
      <c r="Q127" s="31"/>
      <c r="R127" s="31"/>
      <c r="S127" s="3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</row>
    <row r="128" spans="1:35">
      <c r="A128" s="85"/>
      <c r="B128" s="21"/>
      <c r="C128" s="21"/>
      <c r="D128" s="21"/>
      <c r="E128" s="21"/>
      <c r="F128" s="21"/>
      <c r="G128" s="74"/>
      <c r="H128" s="76"/>
      <c r="I128" s="21"/>
      <c r="J128" s="86"/>
      <c r="K128" s="31"/>
      <c r="L128" s="31"/>
      <c r="M128" s="31"/>
      <c r="N128" s="31"/>
      <c r="O128" s="31"/>
      <c r="P128" s="31"/>
      <c r="Q128" s="31"/>
      <c r="R128" s="31"/>
      <c r="S128" s="3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</row>
    <row r="129" spans="1:35">
      <c r="A129" s="85"/>
      <c r="B129" s="21"/>
      <c r="C129" s="21"/>
      <c r="D129" s="21"/>
      <c r="E129" s="21"/>
      <c r="F129" s="21"/>
      <c r="G129" s="74"/>
      <c r="H129" s="76"/>
      <c r="I129" s="21"/>
      <c r="J129" s="86"/>
      <c r="K129" s="31"/>
      <c r="L129" s="31"/>
      <c r="M129" s="31"/>
      <c r="N129" s="31"/>
      <c r="O129" s="31"/>
      <c r="P129" s="31"/>
      <c r="Q129" s="31"/>
      <c r="R129" s="31"/>
      <c r="S129" s="3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</row>
    <row r="130" spans="1:35">
      <c r="A130" s="85"/>
      <c r="B130" s="21"/>
      <c r="C130" s="21"/>
      <c r="D130" s="21"/>
      <c r="E130" s="21"/>
      <c r="F130" s="21"/>
      <c r="G130" s="74"/>
      <c r="H130" s="76"/>
      <c r="I130" s="21"/>
      <c r="J130" s="86"/>
      <c r="K130" s="31"/>
      <c r="L130" s="31"/>
      <c r="M130" s="31"/>
      <c r="N130" s="31"/>
      <c r="O130" s="31"/>
      <c r="P130" s="31"/>
      <c r="Q130" s="31"/>
      <c r="R130" s="31"/>
      <c r="S130" s="3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</row>
    <row r="131" spans="1:35">
      <c r="A131" s="85"/>
      <c r="B131" s="21"/>
      <c r="C131" s="21"/>
      <c r="D131" s="21"/>
      <c r="E131" s="21"/>
      <c r="F131" s="21"/>
      <c r="G131" s="74"/>
      <c r="H131" s="76"/>
      <c r="I131" s="21"/>
      <c r="J131" s="86"/>
      <c r="K131" s="31"/>
      <c r="L131" s="31"/>
      <c r="M131" s="31"/>
      <c r="N131" s="31"/>
      <c r="O131" s="31"/>
      <c r="P131" s="31"/>
      <c r="Q131" s="31"/>
      <c r="R131" s="31"/>
      <c r="S131" s="3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</row>
    <row r="132" spans="1:35">
      <c r="A132" s="85"/>
      <c r="B132" s="21"/>
      <c r="C132" s="21"/>
      <c r="D132" s="21"/>
      <c r="E132" s="21"/>
      <c r="F132" s="21"/>
      <c r="G132" s="74"/>
      <c r="H132" s="76"/>
      <c r="I132" s="21"/>
      <c r="J132" s="86"/>
      <c r="K132" s="31"/>
      <c r="L132" s="31"/>
      <c r="M132" s="31"/>
      <c r="N132" s="31"/>
      <c r="O132" s="31"/>
      <c r="P132" s="31"/>
      <c r="Q132" s="31"/>
      <c r="R132" s="31"/>
      <c r="S132" s="3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</row>
    <row r="133" spans="1:35">
      <c r="A133" s="85"/>
      <c r="B133" s="21"/>
      <c r="C133" s="21"/>
      <c r="D133" s="21"/>
      <c r="E133" s="21"/>
      <c r="F133" s="21"/>
      <c r="G133" s="74"/>
      <c r="H133" s="76"/>
      <c r="I133" s="21"/>
      <c r="J133" s="86"/>
      <c r="K133" s="31"/>
      <c r="L133" s="31"/>
      <c r="M133" s="31"/>
      <c r="N133" s="31"/>
      <c r="O133" s="31"/>
      <c r="P133" s="31"/>
      <c r="Q133" s="31"/>
      <c r="R133" s="31"/>
      <c r="S133" s="3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</row>
    <row r="134" spans="1:35">
      <c r="A134" s="85"/>
      <c r="B134" s="21"/>
      <c r="C134" s="21"/>
      <c r="D134" s="21"/>
      <c r="E134" s="21"/>
      <c r="F134" s="21"/>
      <c r="G134" s="74"/>
      <c r="H134" s="76"/>
      <c r="I134" s="21"/>
      <c r="J134" s="86"/>
      <c r="K134" s="31"/>
      <c r="L134" s="31"/>
      <c r="M134" s="31"/>
      <c r="N134" s="31"/>
      <c r="O134" s="31"/>
      <c r="P134" s="31"/>
      <c r="Q134" s="31"/>
      <c r="R134" s="31"/>
      <c r="S134" s="3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</row>
    <row r="135" spans="1:35">
      <c r="A135" s="85"/>
      <c r="B135" s="21"/>
      <c r="C135" s="21"/>
      <c r="D135" s="21"/>
      <c r="E135" s="21"/>
      <c r="F135" s="21"/>
      <c r="G135" s="74"/>
      <c r="H135" s="76"/>
      <c r="I135" s="21"/>
      <c r="J135" s="86"/>
      <c r="K135" s="31"/>
      <c r="L135" s="31"/>
      <c r="M135" s="31"/>
      <c r="N135" s="31"/>
      <c r="O135" s="31"/>
      <c r="P135" s="31"/>
      <c r="Q135" s="31"/>
      <c r="R135" s="31"/>
      <c r="S135" s="3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</row>
    <row r="136" spans="1:35">
      <c r="A136" s="85"/>
      <c r="B136" s="21"/>
      <c r="C136" s="21"/>
      <c r="D136" s="21"/>
      <c r="E136" s="21"/>
      <c r="F136" s="21"/>
      <c r="G136" s="74"/>
      <c r="H136" s="76"/>
      <c r="I136" s="21"/>
      <c r="J136" s="86"/>
      <c r="K136" s="31"/>
      <c r="L136" s="31"/>
      <c r="M136" s="31"/>
      <c r="N136" s="31"/>
      <c r="O136" s="31"/>
      <c r="P136" s="31"/>
      <c r="Q136" s="31"/>
      <c r="R136" s="31"/>
      <c r="S136" s="3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</row>
    <row r="137" spans="1:35">
      <c r="A137" s="85"/>
      <c r="B137" s="21"/>
      <c r="C137" s="21"/>
      <c r="D137" s="21"/>
      <c r="E137" s="21"/>
      <c r="F137" s="21"/>
      <c r="G137" s="74"/>
      <c r="H137" s="76"/>
      <c r="I137" s="21"/>
      <c r="J137" s="86"/>
      <c r="K137" s="31"/>
      <c r="L137" s="31"/>
      <c r="M137" s="31"/>
      <c r="N137" s="31"/>
      <c r="O137" s="31"/>
      <c r="P137" s="31"/>
      <c r="Q137" s="31"/>
      <c r="R137" s="31"/>
      <c r="S137" s="3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</row>
    <row r="138" spans="1:35">
      <c r="A138" s="85"/>
      <c r="B138" s="21"/>
      <c r="C138" s="21"/>
      <c r="D138" s="21"/>
      <c r="E138" s="21"/>
      <c r="F138" s="21"/>
      <c r="G138" s="74"/>
      <c r="H138" s="76"/>
      <c r="I138" s="21"/>
      <c r="J138" s="86"/>
      <c r="K138" s="31"/>
      <c r="L138" s="31"/>
      <c r="M138" s="31"/>
      <c r="N138" s="31"/>
      <c r="O138" s="31"/>
      <c r="P138" s="31"/>
      <c r="Q138" s="31"/>
      <c r="R138" s="31"/>
      <c r="S138" s="3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</row>
    <row r="139" spans="1:35">
      <c r="A139" s="85"/>
      <c r="B139" s="21"/>
      <c r="C139" s="21"/>
      <c r="D139" s="21"/>
      <c r="E139" s="21"/>
      <c r="F139" s="21"/>
      <c r="G139" s="74"/>
      <c r="H139" s="76"/>
      <c r="I139" s="21"/>
      <c r="J139" s="86"/>
      <c r="K139" s="31"/>
      <c r="L139" s="31"/>
      <c r="M139" s="31"/>
      <c r="N139" s="31"/>
      <c r="O139" s="31"/>
      <c r="P139" s="31"/>
      <c r="Q139" s="31"/>
      <c r="R139" s="31"/>
      <c r="S139" s="3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</row>
    <row r="140" spans="1:35">
      <c r="A140" s="85"/>
      <c r="B140" s="21"/>
      <c r="C140" s="21"/>
      <c r="D140" s="21"/>
      <c r="E140" s="21"/>
      <c r="F140" s="21"/>
      <c r="G140" s="74"/>
      <c r="H140" s="76"/>
      <c r="I140" s="21"/>
      <c r="J140" s="86"/>
      <c r="K140" s="31"/>
      <c r="L140" s="31"/>
      <c r="M140" s="31"/>
      <c r="N140" s="31"/>
      <c r="O140" s="31"/>
      <c r="P140" s="31"/>
      <c r="Q140" s="31"/>
      <c r="R140" s="31"/>
      <c r="S140" s="3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</row>
    <row r="141" spans="1:35">
      <c r="A141" s="85"/>
      <c r="B141" s="21"/>
      <c r="C141" s="21"/>
      <c r="D141" s="21"/>
      <c r="E141" s="21"/>
      <c r="F141" s="21"/>
      <c r="G141" s="74"/>
      <c r="H141" s="76"/>
      <c r="I141" s="21"/>
      <c r="J141" s="86"/>
      <c r="K141" s="31"/>
      <c r="L141" s="31"/>
      <c r="M141" s="31"/>
      <c r="N141" s="31"/>
      <c r="O141" s="31"/>
      <c r="P141" s="31"/>
      <c r="Q141" s="31"/>
      <c r="R141" s="31"/>
      <c r="S141" s="3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</row>
    <row r="142" spans="1:35">
      <c r="A142" s="85"/>
      <c r="B142" s="21"/>
      <c r="C142" s="21"/>
      <c r="D142" s="21"/>
      <c r="E142" s="21"/>
      <c r="F142" s="21"/>
      <c r="G142" s="74"/>
      <c r="H142" s="76"/>
      <c r="I142" s="21"/>
      <c r="J142" s="86"/>
      <c r="K142" s="31"/>
      <c r="L142" s="31"/>
      <c r="M142" s="31"/>
      <c r="N142" s="31"/>
      <c r="O142" s="31"/>
      <c r="P142" s="31"/>
      <c r="Q142" s="31"/>
      <c r="R142" s="31"/>
      <c r="S142" s="3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</row>
    <row r="143" spans="1:35">
      <c r="A143" s="85"/>
      <c r="B143" s="21"/>
      <c r="C143" s="21"/>
      <c r="D143" s="21"/>
      <c r="E143" s="21"/>
      <c r="F143" s="21"/>
      <c r="G143" s="74"/>
      <c r="H143" s="76"/>
      <c r="I143" s="21"/>
      <c r="J143" s="86"/>
      <c r="K143" s="31"/>
      <c r="L143" s="31"/>
      <c r="M143" s="31"/>
      <c r="N143" s="31"/>
      <c r="O143" s="31"/>
      <c r="P143" s="31"/>
      <c r="Q143" s="31"/>
      <c r="R143" s="31"/>
      <c r="S143" s="3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</row>
    <row r="144" spans="1:35">
      <c r="A144" s="85"/>
      <c r="B144" s="21"/>
      <c r="C144" s="21"/>
      <c r="D144" s="21"/>
      <c r="E144" s="21"/>
      <c r="F144" s="21"/>
      <c r="G144" s="74"/>
      <c r="H144" s="76"/>
      <c r="I144" s="21"/>
      <c r="J144" s="86"/>
      <c r="K144" s="31"/>
      <c r="L144" s="31"/>
      <c r="M144" s="31"/>
      <c r="N144" s="31"/>
      <c r="O144" s="31"/>
      <c r="P144" s="31"/>
      <c r="Q144" s="31"/>
      <c r="R144" s="31"/>
      <c r="S144" s="3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</row>
    <row r="145" spans="1:35">
      <c r="A145" s="85"/>
      <c r="B145" s="21"/>
      <c r="C145" s="21"/>
      <c r="D145" s="21"/>
      <c r="E145" s="21"/>
      <c r="F145" s="21"/>
      <c r="G145" s="74"/>
      <c r="H145" s="76"/>
      <c r="I145" s="21"/>
      <c r="J145" s="86"/>
      <c r="K145" s="31"/>
      <c r="L145" s="31"/>
      <c r="M145" s="31"/>
      <c r="N145" s="31"/>
      <c r="O145" s="31"/>
      <c r="P145" s="31"/>
      <c r="Q145" s="31"/>
      <c r="R145" s="31"/>
      <c r="S145" s="3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</row>
    <row r="146" spans="1:35">
      <c r="A146" s="85"/>
      <c r="B146" s="21"/>
      <c r="C146" s="21"/>
      <c r="D146" s="21"/>
      <c r="E146" s="21"/>
      <c r="F146" s="21"/>
      <c r="G146" s="74"/>
      <c r="H146" s="76"/>
      <c r="I146" s="21"/>
      <c r="J146" s="86"/>
      <c r="K146" s="31"/>
      <c r="L146" s="31"/>
      <c r="M146" s="31"/>
      <c r="N146" s="31"/>
      <c r="O146" s="31"/>
      <c r="P146" s="31"/>
      <c r="Q146" s="31"/>
      <c r="R146" s="31"/>
      <c r="S146" s="3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</row>
    <row r="147" spans="1:35">
      <c r="A147" s="85"/>
      <c r="B147" s="21"/>
      <c r="C147" s="21"/>
      <c r="D147" s="21"/>
      <c r="E147" s="21"/>
      <c r="F147" s="21"/>
      <c r="G147" s="74"/>
      <c r="H147" s="76"/>
      <c r="I147" s="21"/>
      <c r="J147" s="86"/>
      <c r="K147" s="31"/>
      <c r="L147" s="31"/>
      <c r="M147" s="31"/>
      <c r="N147" s="31"/>
      <c r="O147" s="31"/>
      <c r="P147" s="31"/>
      <c r="Q147" s="31"/>
      <c r="R147" s="31"/>
      <c r="S147" s="3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</row>
    <row r="148" spans="1:35">
      <c r="A148" s="85"/>
      <c r="B148" s="21"/>
      <c r="C148" s="21"/>
      <c r="D148" s="21"/>
      <c r="E148" s="21"/>
      <c r="F148" s="21"/>
      <c r="G148" s="74"/>
      <c r="H148" s="76"/>
      <c r="I148" s="21"/>
      <c r="J148" s="86"/>
      <c r="K148" s="31"/>
      <c r="L148" s="31"/>
      <c r="M148" s="31"/>
      <c r="N148" s="31"/>
      <c r="O148" s="31"/>
      <c r="P148" s="31"/>
      <c r="Q148" s="31"/>
      <c r="R148" s="31"/>
      <c r="S148" s="3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</row>
    <row r="149" spans="1:35">
      <c r="A149" s="85"/>
      <c r="B149" s="21"/>
      <c r="C149" s="21"/>
      <c r="D149" s="21"/>
      <c r="E149" s="21"/>
      <c r="F149" s="21"/>
      <c r="G149" s="74"/>
      <c r="H149" s="76"/>
      <c r="I149" s="21"/>
      <c r="J149" s="86"/>
      <c r="K149" s="31"/>
      <c r="L149" s="31"/>
      <c r="M149" s="31"/>
      <c r="N149" s="31"/>
      <c r="O149" s="31"/>
      <c r="P149" s="31"/>
      <c r="Q149" s="31"/>
      <c r="R149" s="31"/>
      <c r="S149" s="3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</row>
    <row r="150" spans="1:35">
      <c r="A150" s="85"/>
      <c r="B150" s="21"/>
      <c r="C150" s="21"/>
      <c r="D150" s="21"/>
      <c r="E150" s="21"/>
      <c r="F150" s="21"/>
      <c r="G150" s="74"/>
      <c r="H150" s="76"/>
      <c r="I150" s="21"/>
      <c r="J150" s="86"/>
      <c r="K150" s="31"/>
      <c r="L150" s="31"/>
      <c r="M150" s="31"/>
      <c r="N150" s="31"/>
      <c r="O150" s="31"/>
      <c r="P150" s="31"/>
      <c r="Q150" s="31"/>
      <c r="R150" s="31"/>
      <c r="S150" s="3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</row>
    <row r="151" spans="1:35">
      <c r="A151" s="85"/>
      <c r="B151" s="21"/>
      <c r="C151" s="21"/>
      <c r="D151" s="21"/>
      <c r="E151" s="21"/>
      <c r="F151" s="21"/>
      <c r="G151" s="74"/>
      <c r="H151" s="76"/>
      <c r="I151" s="21"/>
      <c r="J151" s="86"/>
      <c r="K151" s="31"/>
      <c r="L151" s="31"/>
      <c r="M151" s="31"/>
      <c r="N151" s="31"/>
      <c r="O151" s="31"/>
      <c r="P151" s="31"/>
      <c r="Q151" s="31"/>
      <c r="R151" s="31"/>
      <c r="S151" s="3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</row>
    <row r="152" spans="1:35">
      <c r="A152" s="85"/>
      <c r="B152" s="21"/>
      <c r="C152" s="21"/>
      <c r="D152" s="21"/>
      <c r="E152" s="21"/>
      <c r="F152" s="21"/>
      <c r="G152" s="74"/>
      <c r="H152" s="76"/>
      <c r="I152" s="21"/>
      <c r="J152" s="86"/>
      <c r="K152" s="31"/>
      <c r="L152" s="31"/>
      <c r="M152" s="31"/>
      <c r="N152" s="31"/>
      <c r="O152" s="31"/>
      <c r="P152" s="31"/>
      <c r="Q152" s="31"/>
      <c r="R152" s="31"/>
      <c r="S152" s="3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</row>
    <row r="153" spans="1:35">
      <c r="A153" s="85"/>
      <c r="B153" s="21"/>
      <c r="C153" s="21"/>
      <c r="D153" s="21"/>
      <c r="E153" s="21"/>
      <c r="F153" s="21"/>
      <c r="G153" s="74"/>
      <c r="H153" s="76"/>
      <c r="I153" s="21"/>
      <c r="J153" s="86"/>
      <c r="K153" s="31"/>
      <c r="L153" s="31"/>
      <c r="M153" s="31"/>
      <c r="N153" s="31"/>
      <c r="O153" s="31"/>
      <c r="P153" s="31"/>
      <c r="Q153" s="31"/>
      <c r="R153" s="31"/>
      <c r="S153" s="3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</row>
    <row r="154" spans="1:35">
      <c r="A154" s="85"/>
      <c r="B154" s="21"/>
      <c r="C154" s="21"/>
      <c r="D154" s="21"/>
      <c r="E154" s="21"/>
      <c r="F154" s="21"/>
      <c r="G154" s="74"/>
      <c r="H154" s="76"/>
      <c r="I154" s="21"/>
      <c r="J154" s="86"/>
      <c r="K154" s="31"/>
      <c r="L154" s="31"/>
      <c r="M154" s="31"/>
      <c r="N154" s="31"/>
      <c r="O154" s="31"/>
      <c r="P154" s="31"/>
      <c r="Q154" s="31"/>
      <c r="R154" s="31"/>
      <c r="S154" s="3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</row>
    <row r="155" spans="1:35">
      <c r="A155" s="85"/>
      <c r="B155" s="21"/>
      <c r="C155" s="21"/>
      <c r="D155" s="21"/>
      <c r="E155" s="21"/>
      <c r="F155" s="21"/>
      <c r="G155" s="74"/>
      <c r="H155" s="76"/>
      <c r="I155" s="21"/>
      <c r="J155" s="86"/>
      <c r="K155" s="31"/>
      <c r="L155" s="31"/>
      <c r="M155" s="31"/>
      <c r="N155" s="31"/>
      <c r="O155" s="31"/>
      <c r="P155" s="31"/>
      <c r="Q155" s="31"/>
      <c r="R155" s="31"/>
      <c r="S155" s="3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</row>
    <row r="156" spans="1:35">
      <c r="A156" s="85"/>
      <c r="B156" s="21"/>
      <c r="C156" s="21"/>
      <c r="D156" s="21"/>
      <c r="E156" s="21"/>
      <c r="F156" s="21"/>
      <c r="G156" s="74"/>
      <c r="H156" s="76"/>
      <c r="I156" s="21"/>
      <c r="J156" s="86"/>
      <c r="K156" s="31"/>
      <c r="L156" s="31"/>
      <c r="M156" s="31"/>
      <c r="N156" s="31"/>
      <c r="O156" s="31"/>
      <c r="P156" s="31"/>
      <c r="Q156" s="31"/>
      <c r="R156" s="31"/>
      <c r="S156" s="3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</row>
    <row r="157" spans="1:35">
      <c r="A157" s="85"/>
      <c r="B157" s="21"/>
      <c r="C157" s="21"/>
      <c r="D157" s="21"/>
      <c r="E157" s="21"/>
      <c r="F157" s="21"/>
      <c r="G157" s="74"/>
      <c r="H157" s="76"/>
      <c r="I157" s="21"/>
      <c r="J157" s="86"/>
      <c r="K157" s="31"/>
      <c r="L157" s="31"/>
      <c r="M157" s="31"/>
      <c r="N157" s="31"/>
      <c r="O157" s="31"/>
      <c r="P157" s="31"/>
      <c r="Q157" s="31"/>
      <c r="R157" s="31"/>
      <c r="S157" s="3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</row>
    <row r="158" spans="1:35">
      <c r="A158" s="85"/>
      <c r="B158" s="21"/>
      <c r="C158" s="21"/>
      <c r="D158" s="21"/>
      <c r="E158" s="21"/>
      <c r="F158" s="21"/>
      <c r="G158" s="74"/>
      <c r="H158" s="76"/>
      <c r="I158" s="21"/>
      <c r="J158" s="86"/>
      <c r="K158" s="31"/>
      <c r="L158" s="31"/>
      <c r="M158" s="31"/>
      <c r="N158" s="31"/>
      <c r="O158" s="31"/>
      <c r="P158" s="31"/>
      <c r="Q158" s="31"/>
      <c r="R158" s="31"/>
      <c r="S158" s="3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</row>
    <row r="159" spans="1:35">
      <c r="A159" s="85"/>
      <c r="B159" s="21"/>
      <c r="C159" s="21"/>
      <c r="D159" s="21"/>
      <c r="E159" s="21"/>
      <c r="F159" s="21"/>
      <c r="G159" s="74"/>
      <c r="H159" s="76"/>
      <c r="I159" s="21"/>
      <c r="J159" s="86"/>
      <c r="K159" s="31"/>
      <c r="L159" s="31"/>
      <c r="M159" s="31"/>
      <c r="N159" s="31"/>
      <c r="O159" s="31"/>
      <c r="P159" s="31"/>
      <c r="Q159" s="31"/>
      <c r="R159" s="31"/>
      <c r="S159" s="3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</row>
    <row r="160" spans="1:35">
      <c r="A160" s="85"/>
      <c r="B160" s="21"/>
      <c r="C160" s="21"/>
      <c r="D160" s="21"/>
      <c r="E160" s="21"/>
      <c r="F160" s="21"/>
      <c r="G160" s="74"/>
      <c r="H160" s="76"/>
      <c r="I160" s="21"/>
      <c r="J160" s="86"/>
      <c r="K160" s="31"/>
      <c r="L160" s="31"/>
      <c r="M160" s="31"/>
      <c r="N160" s="31"/>
      <c r="O160" s="31"/>
      <c r="P160" s="31"/>
      <c r="Q160" s="31"/>
      <c r="R160" s="31"/>
      <c r="S160" s="3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</row>
    <row r="161" spans="1:35">
      <c r="A161" s="85"/>
      <c r="B161" s="21"/>
      <c r="C161" s="21"/>
      <c r="D161" s="21"/>
      <c r="E161" s="21"/>
      <c r="F161" s="21"/>
      <c r="G161" s="74"/>
      <c r="H161" s="76"/>
      <c r="I161" s="21"/>
      <c r="J161" s="86"/>
      <c r="K161" s="31"/>
      <c r="L161" s="31"/>
      <c r="M161" s="31"/>
      <c r="N161" s="31"/>
      <c r="O161" s="31"/>
      <c r="P161" s="31"/>
      <c r="Q161" s="31"/>
      <c r="R161" s="31"/>
      <c r="S161" s="3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</row>
    <row r="162" spans="1:35">
      <c r="A162" s="85"/>
      <c r="B162" s="21"/>
      <c r="C162" s="21"/>
      <c r="D162" s="21"/>
      <c r="E162" s="21"/>
      <c r="F162" s="21"/>
      <c r="G162" s="74"/>
      <c r="H162" s="76"/>
      <c r="I162" s="21"/>
      <c r="J162" s="86"/>
      <c r="K162" s="31"/>
      <c r="L162" s="31"/>
      <c r="M162" s="31"/>
      <c r="N162" s="31"/>
      <c r="O162" s="31"/>
      <c r="P162" s="31"/>
      <c r="Q162" s="31"/>
      <c r="R162" s="31"/>
      <c r="S162" s="3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</row>
    <row r="163" spans="1:35">
      <c r="A163" s="85"/>
      <c r="B163" s="21"/>
      <c r="C163" s="21"/>
      <c r="D163" s="21"/>
      <c r="E163" s="21"/>
      <c r="F163" s="21"/>
      <c r="G163" s="74"/>
      <c r="H163" s="76"/>
      <c r="I163" s="21"/>
      <c r="J163" s="86"/>
      <c r="K163" s="31"/>
      <c r="L163" s="31"/>
      <c r="M163" s="31"/>
      <c r="N163" s="31"/>
      <c r="O163" s="31"/>
      <c r="P163" s="31"/>
      <c r="Q163" s="31"/>
      <c r="R163" s="31"/>
      <c r="S163" s="3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</row>
    <row r="164" spans="1:35">
      <c r="A164" s="85"/>
      <c r="B164" s="21"/>
      <c r="C164" s="21"/>
      <c r="D164" s="21"/>
      <c r="E164" s="21"/>
      <c r="F164" s="21"/>
      <c r="G164" s="74"/>
      <c r="H164" s="76"/>
      <c r="I164" s="21"/>
      <c r="J164" s="86"/>
      <c r="K164" s="31"/>
      <c r="L164" s="31"/>
      <c r="M164" s="31"/>
      <c r="N164" s="31"/>
      <c r="O164" s="31"/>
      <c r="P164" s="31"/>
      <c r="Q164" s="31"/>
      <c r="R164" s="31"/>
      <c r="S164" s="3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</row>
    <row r="165" spans="1:35">
      <c r="A165" s="85"/>
      <c r="B165" s="21"/>
      <c r="C165" s="21"/>
      <c r="D165" s="21"/>
      <c r="E165" s="21"/>
      <c r="F165" s="21"/>
      <c r="G165" s="74"/>
      <c r="H165" s="76"/>
      <c r="I165" s="21"/>
      <c r="J165" s="86"/>
      <c r="K165" s="31"/>
      <c r="L165" s="31"/>
      <c r="M165" s="31"/>
      <c r="N165" s="31"/>
      <c r="O165" s="31"/>
      <c r="P165" s="31"/>
      <c r="Q165" s="31"/>
      <c r="R165" s="31"/>
      <c r="S165" s="3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</row>
    <row r="166" spans="1:35">
      <c r="A166" s="85"/>
      <c r="B166" s="21"/>
      <c r="C166" s="21"/>
      <c r="D166" s="21"/>
      <c r="E166" s="21"/>
      <c r="F166" s="21"/>
      <c r="G166" s="74"/>
      <c r="H166" s="76"/>
      <c r="I166" s="21"/>
      <c r="J166" s="86"/>
      <c r="K166" s="31"/>
      <c r="L166" s="31"/>
      <c r="M166" s="31"/>
      <c r="N166" s="31"/>
      <c r="O166" s="31"/>
      <c r="P166" s="31"/>
      <c r="Q166" s="31"/>
      <c r="R166" s="31"/>
      <c r="S166" s="3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</row>
    <row r="167" spans="1:35">
      <c r="A167" s="85"/>
      <c r="B167" s="21"/>
      <c r="C167" s="21"/>
      <c r="D167" s="21"/>
      <c r="E167" s="21"/>
      <c r="F167" s="21"/>
      <c r="G167" s="74"/>
      <c r="H167" s="76"/>
      <c r="I167" s="21"/>
      <c r="J167" s="86"/>
      <c r="K167" s="31"/>
      <c r="L167" s="31"/>
      <c r="M167" s="31"/>
      <c r="N167" s="31"/>
      <c r="O167" s="31"/>
      <c r="P167" s="31"/>
      <c r="Q167" s="31"/>
      <c r="R167" s="31"/>
      <c r="S167" s="3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</row>
    <row r="168" spans="1:35">
      <c r="A168" s="85"/>
      <c r="B168" s="21"/>
      <c r="C168" s="21"/>
      <c r="D168" s="21"/>
      <c r="E168" s="21"/>
      <c r="F168" s="21"/>
      <c r="G168" s="74"/>
      <c r="H168" s="76"/>
      <c r="I168" s="21"/>
      <c r="J168" s="86"/>
      <c r="K168" s="31"/>
      <c r="L168" s="31"/>
      <c r="M168" s="31"/>
      <c r="N168" s="31"/>
      <c r="O168" s="31"/>
      <c r="P168" s="31"/>
      <c r="Q168" s="31"/>
      <c r="R168" s="31"/>
      <c r="S168" s="3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</row>
    <row r="169" spans="1:35">
      <c r="A169" s="85"/>
      <c r="B169" s="21"/>
      <c r="C169" s="21"/>
      <c r="D169" s="21"/>
      <c r="E169" s="21"/>
      <c r="F169" s="21"/>
      <c r="G169" s="74"/>
      <c r="H169" s="76"/>
      <c r="I169" s="21"/>
      <c r="J169" s="86"/>
      <c r="K169" s="31"/>
      <c r="L169" s="31"/>
      <c r="M169" s="31"/>
      <c r="N169" s="31"/>
      <c r="O169" s="31"/>
      <c r="P169" s="31"/>
      <c r="Q169" s="31"/>
      <c r="R169" s="31"/>
      <c r="S169" s="3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</row>
    <row r="170" spans="1:35">
      <c r="A170" s="85"/>
      <c r="B170" s="21"/>
      <c r="C170" s="21"/>
      <c r="D170" s="21"/>
      <c r="E170" s="21"/>
      <c r="F170" s="21"/>
      <c r="G170" s="74"/>
      <c r="H170" s="76"/>
      <c r="I170" s="21"/>
      <c r="J170" s="86"/>
      <c r="K170" s="31"/>
      <c r="L170" s="31"/>
      <c r="M170" s="31"/>
      <c r="N170" s="31"/>
      <c r="O170" s="31"/>
      <c r="P170" s="31"/>
      <c r="Q170" s="31"/>
      <c r="R170" s="31"/>
      <c r="S170" s="3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</row>
    <row r="171" spans="1:35">
      <c r="A171" s="85"/>
      <c r="B171" s="21"/>
      <c r="C171" s="21"/>
      <c r="D171" s="21"/>
      <c r="E171" s="21"/>
      <c r="F171" s="21"/>
      <c r="G171" s="74"/>
      <c r="H171" s="76"/>
      <c r="I171" s="21"/>
      <c r="J171" s="86"/>
      <c r="K171" s="31"/>
      <c r="L171" s="31"/>
      <c r="M171" s="31"/>
      <c r="N171" s="31"/>
      <c r="O171" s="31"/>
      <c r="P171" s="31"/>
      <c r="Q171" s="31"/>
      <c r="R171" s="31"/>
      <c r="S171" s="3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</row>
    <row r="172" spans="1:35">
      <c r="A172" s="85"/>
      <c r="B172" s="21"/>
      <c r="C172" s="21"/>
      <c r="D172" s="21"/>
      <c r="E172" s="21"/>
      <c r="F172" s="21"/>
      <c r="G172" s="74"/>
      <c r="H172" s="76"/>
      <c r="I172" s="21"/>
      <c r="J172" s="86"/>
      <c r="K172" s="31"/>
      <c r="L172" s="31"/>
      <c r="M172" s="31"/>
      <c r="N172" s="31"/>
      <c r="O172" s="31"/>
      <c r="P172" s="31"/>
      <c r="Q172" s="31"/>
      <c r="R172" s="31"/>
      <c r="S172" s="3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</row>
    <row r="173" spans="1:35">
      <c r="A173" s="85"/>
      <c r="B173" s="21"/>
      <c r="C173" s="21"/>
      <c r="D173" s="21"/>
      <c r="E173" s="21"/>
      <c r="F173" s="21"/>
      <c r="G173" s="74"/>
      <c r="H173" s="76"/>
      <c r="I173" s="21"/>
      <c r="J173" s="86"/>
      <c r="K173" s="31"/>
      <c r="L173" s="31"/>
      <c r="M173" s="31"/>
      <c r="N173" s="31"/>
      <c r="O173" s="31"/>
      <c r="P173" s="31"/>
      <c r="Q173" s="31"/>
      <c r="R173" s="31"/>
      <c r="S173" s="3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</row>
    <row r="174" spans="1:35">
      <c r="A174" s="85"/>
      <c r="B174" s="21"/>
      <c r="C174" s="21"/>
      <c r="D174" s="21"/>
      <c r="E174" s="21"/>
      <c r="F174" s="21"/>
      <c r="G174" s="74"/>
      <c r="H174" s="76"/>
      <c r="I174" s="21"/>
      <c r="J174" s="86"/>
      <c r="K174" s="31"/>
      <c r="L174" s="31"/>
      <c r="M174" s="31"/>
      <c r="N174" s="31"/>
      <c r="O174" s="31"/>
      <c r="P174" s="31"/>
      <c r="Q174" s="31"/>
      <c r="R174" s="31"/>
      <c r="S174" s="3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</row>
    <row r="175" spans="1:35">
      <c r="A175" s="85"/>
      <c r="B175" s="21"/>
      <c r="C175" s="21"/>
      <c r="D175" s="21"/>
      <c r="E175" s="21"/>
      <c r="F175" s="21"/>
      <c r="G175" s="74"/>
      <c r="H175" s="76"/>
      <c r="I175" s="21"/>
      <c r="J175" s="86"/>
      <c r="K175" s="31"/>
      <c r="L175" s="31"/>
      <c r="M175" s="31"/>
      <c r="N175" s="31"/>
      <c r="O175" s="31"/>
      <c r="P175" s="31"/>
      <c r="Q175" s="31"/>
      <c r="R175" s="31"/>
      <c r="S175" s="3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</row>
    <row r="176" spans="1:35">
      <c r="A176" s="85"/>
      <c r="B176" s="21"/>
      <c r="C176" s="21"/>
      <c r="D176" s="21"/>
      <c r="E176" s="21"/>
      <c r="F176" s="21"/>
      <c r="G176" s="74"/>
      <c r="H176" s="76"/>
      <c r="I176" s="21"/>
      <c r="J176" s="86"/>
      <c r="K176" s="31"/>
      <c r="L176" s="31"/>
      <c r="M176" s="31"/>
      <c r="N176" s="31"/>
      <c r="O176" s="31"/>
      <c r="P176" s="31"/>
      <c r="Q176" s="31"/>
      <c r="R176" s="31"/>
      <c r="S176" s="3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</row>
    <row r="177" spans="1:35">
      <c r="A177" s="85"/>
      <c r="B177" s="21"/>
      <c r="C177" s="21"/>
      <c r="D177" s="21"/>
      <c r="E177" s="21"/>
      <c r="F177" s="21"/>
      <c r="G177" s="74"/>
      <c r="H177" s="76"/>
      <c r="I177" s="21"/>
      <c r="J177" s="86"/>
      <c r="K177" s="31"/>
      <c r="L177" s="31"/>
      <c r="M177" s="31"/>
      <c r="N177" s="31"/>
      <c r="O177" s="31"/>
      <c r="P177" s="31"/>
      <c r="Q177" s="31"/>
      <c r="R177" s="31"/>
      <c r="S177" s="3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</row>
    <row r="178" spans="1:35">
      <c r="A178" s="85"/>
      <c r="B178" s="21"/>
      <c r="C178" s="21"/>
      <c r="D178" s="21"/>
      <c r="E178" s="21"/>
      <c r="F178" s="21"/>
      <c r="G178" s="74"/>
      <c r="H178" s="76"/>
      <c r="I178" s="21"/>
      <c r="J178" s="86"/>
      <c r="K178" s="31"/>
      <c r="L178" s="31"/>
      <c r="M178" s="31"/>
      <c r="N178" s="31"/>
      <c r="O178" s="31"/>
      <c r="P178" s="31"/>
      <c r="Q178" s="31"/>
      <c r="R178" s="31"/>
      <c r="S178" s="3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</row>
    <row r="179" spans="1:35">
      <c r="A179" s="85"/>
      <c r="B179" s="21"/>
      <c r="C179" s="21"/>
      <c r="D179" s="21"/>
      <c r="E179" s="21"/>
      <c r="F179" s="21"/>
      <c r="G179" s="74"/>
      <c r="H179" s="76"/>
      <c r="I179" s="21"/>
      <c r="J179" s="86"/>
      <c r="K179" s="31"/>
      <c r="L179" s="31"/>
      <c r="M179" s="31"/>
      <c r="N179" s="31"/>
      <c r="O179" s="31"/>
      <c r="P179" s="31"/>
      <c r="Q179" s="31"/>
      <c r="R179" s="31"/>
      <c r="S179" s="3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</row>
    <row r="180" spans="1:35">
      <c r="A180" s="85"/>
      <c r="B180" s="21"/>
      <c r="C180" s="21"/>
      <c r="D180" s="21"/>
      <c r="E180" s="21"/>
      <c r="F180" s="21"/>
      <c r="G180" s="74"/>
      <c r="H180" s="76"/>
      <c r="I180" s="21"/>
      <c r="J180" s="86"/>
      <c r="K180" s="31"/>
      <c r="L180" s="31"/>
      <c r="M180" s="31"/>
      <c r="N180" s="31"/>
      <c r="O180" s="31"/>
      <c r="P180" s="31"/>
      <c r="Q180" s="31"/>
      <c r="R180" s="31"/>
      <c r="S180" s="3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</row>
    <row r="181" spans="1:35">
      <c r="A181" s="85"/>
      <c r="B181" s="21"/>
      <c r="C181" s="21"/>
      <c r="D181" s="21"/>
      <c r="E181" s="21"/>
      <c r="F181" s="21"/>
      <c r="G181" s="74"/>
      <c r="H181" s="76"/>
      <c r="I181" s="21"/>
      <c r="J181" s="86"/>
      <c r="K181" s="31"/>
      <c r="L181" s="31"/>
      <c r="M181" s="31"/>
      <c r="N181" s="31"/>
      <c r="O181" s="31"/>
      <c r="P181" s="31"/>
      <c r="Q181" s="31"/>
      <c r="R181" s="31"/>
      <c r="S181" s="3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</row>
    <row r="182" spans="1:35">
      <c r="A182" s="85"/>
      <c r="B182" s="21"/>
      <c r="C182" s="21"/>
      <c r="D182" s="21"/>
      <c r="E182" s="21"/>
      <c r="F182" s="21"/>
      <c r="G182" s="74"/>
      <c r="H182" s="76"/>
      <c r="I182" s="21"/>
      <c r="J182" s="86"/>
      <c r="K182" s="31"/>
      <c r="L182" s="31"/>
      <c r="M182" s="31"/>
      <c r="N182" s="31"/>
      <c r="O182" s="31"/>
      <c r="P182" s="31"/>
      <c r="Q182" s="31"/>
      <c r="R182" s="31"/>
      <c r="S182" s="3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</row>
    <row r="183" spans="1:35">
      <c r="A183" s="85"/>
      <c r="B183" s="21"/>
      <c r="C183" s="21"/>
      <c r="D183" s="21"/>
      <c r="E183" s="21"/>
      <c r="F183" s="21"/>
      <c r="G183" s="74"/>
      <c r="H183" s="76"/>
      <c r="I183" s="21"/>
      <c r="J183" s="86"/>
      <c r="K183" s="31"/>
      <c r="L183" s="31"/>
      <c r="M183" s="31"/>
      <c r="N183" s="31"/>
      <c r="O183" s="31"/>
      <c r="P183" s="31"/>
      <c r="Q183" s="31"/>
      <c r="R183" s="31"/>
      <c r="S183" s="3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</row>
    <row r="184" spans="1:35">
      <c r="A184" s="85"/>
      <c r="B184" s="21"/>
      <c r="C184" s="21"/>
      <c r="D184" s="21"/>
      <c r="E184" s="21"/>
      <c r="F184" s="21"/>
      <c r="G184" s="74"/>
      <c r="H184" s="76"/>
      <c r="I184" s="21"/>
      <c r="J184" s="86"/>
      <c r="K184" s="31"/>
      <c r="L184" s="31"/>
      <c r="M184" s="31"/>
      <c r="N184" s="31"/>
      <c r="O184" s="31"/>
      <c r="P184" s="31"/>
      <c r="Q184" s="31"/>
      <c r="R184" s="31"/>
      <c r="S184" s="3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</row>
    <row r="185" spans="1:35">
      <c r="A185" s="85"/>
      <c r="B185" s="21"/>
      <c r="C185" s="21"/>
      <c r="D185" s="21"/>
      <c r="E185" s="21"/>
      <c r="F185" s="21"/>
      <c r="G185" s="74"/>
      <c r="H185" s="76"/>
      <c r="I185" s="21"/>
      <c r="J185" s="86"/>
      <c r="K185" s="31"/>
      <c r="L185" s="31"/>
      <c r="M185" s="31"/>
      <c r="N185" s="31"/>
      <c r="O185" s="31"/>
      <c r="P185" s="31"/>
      <c r="Q185" s="31"/>
      <c r="R185" s="31"/>
      <c r="S185" s="3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</row>
    <row r="186" spans="1:35">
      <c r="A186" s="85"/>
      <c r="B186" s="21"/>
      <c r="C186" s="21"/>
      <c r="D186" s="21"/>
      <c r="E186" s="21"/>
      <c r="F186" s="21"/>
      <c r="G186" s="74"/>
      <c r="H186" s="76"/>
      <c r="I186" s="21"/>
      <c r="J186" s="86"/>
      <c r="K186" s="31"/>
      <c r="L186" s="31"/>
      <c r="M186" s="31"/>
      <c r="N186" s="31"/>
      <c r="O186" s="31"/>
      <c r="P186" s="31"/>
      <c r="Q186" s="31"/>
      <c r="R186" s="31"/>
      <c r="S186" s="3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</row>
    <row r="187" spans="1:35">
      <c r="A187" s="85"/>
      <c r="B187" s="21"/>
      <c r="C187" s="21"/>
      <c r="D187" s="21"/>
      <c r="E187" s="21"/>
      <c r="F187" s="21"/>
      <c r="G187" s="74"/>
      <c r="H187" s="76"/>
      <c r="I187" s="21"/>
      <c r="J187" s="86"/>
      <c r="K187" s="31"/>
      <c r="L187" s="31"/>
      <c r="M187" s="31"/>
      <c r="N187" s="31"/>
      <c r="O187" s="31"/>
      <c r="P187" s="31"/>
      <c r="Q187" s="31"/>
      <c r="R187" s="31"/>
      <c r="S187" s="3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</row>
    <row r="188" spans="1:35">
      <c r="A188" s="85"/>
      <c r="B188" s="21"/>
      <c r="C188" s="21"/>
      <c r="D188" s="21"/>
      <c r="E188" s="21"/>
      <c r="F188" s="21"/>
      <c r="G188" s="74"/>
      <c r="H188" s="76"/>
      <c r="I188" s="21"/>
      <c r="J188" s="86"/>
      <c r="K188" s="31"/>
      <c r="L188" s="31"/>
      <c r="M188" s="31"/>
      <c r="N188" s="31"/>
      <c r="O188" s="31"/>
      <c r="P188" s="31"/>
      <c r="Q188" s="31"/>
      <c r="R188" s="31"/>
      <c r="S188" s="3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</row>
    <row r="189" spans="1:35">
      <c r="A189" s="85"/>
      <c r="B189" s="21"/>
      <c r="C189" s="21"/>
      <c r="D189" s="21"/>
      <c r="E189" s="21"/>
      <c r="F189" s="21"/>
      <c r="G189" s="74"/>
      <c r="H189" s="76"/>
      <c r="I189" s="21"/>
      <c r="J189" s="86"/>
      <c r="K189" s="31"/>
      <c r="L189" s="31"/>
      <c r="M189" s="31"/>
      <c r="N189" s="31"/>
      <c r="O189" s="31"/>
      <c r="P189" s="31"/>
      <c r="Q189" s="31"/>
      <c r="R189" s="31"/>
      <c r="S189" s="3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</row>
    <row r="190" spans="1:35">
      <c r="A190" s="85"/>
      <c r="B190" s="21"/>
      <c r="C190" s="21"/>
      <c r="D190" s="21"/>
      <c r="E190" s="21"/>
      <c r="F190" s="21"/>
      <c r="G190" s="74"/>
      <c r="H190" s="76"/>
      <c r="I190" s="21"/>
      <c r="J190" s="86"/>
      <c r="K190" s="31"/>
      <c r="L190" s="31"/>
      <c r="M190" s="31"/>
      <c r="N190" s="31"/>
      <c r="O190" s="31"/>
      <c r="P190" s="31"/>
      <c r="Q190" s="31"/>
      <c r="R190" s="31"/>
      <c r="S190" s="3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</row>
    <row r="191" spans="1:35">
      <c r="A191" s="85"/>
      <c r="B191" s="21"/>
      <c r="C191" s="21"/>
      <c r="D191" s="21"/>
      <c r="E191" s="21"/>
      <c r="F191" s="21"/>
      <c r="G191" s="74"/>
      <c r="H191" s="76"/>
      <c r="I191" s="21"/>
      <c r="J191" s="86"/>
      <c r="K191" s="31"/>
      <c r="L191" s="31"/>
      <c r="M191" s="31"/>
      <c r="N191" s="31"/>
      <c r="O191" s="31"/>
      <c r="P191" s="31"/>
      <c r="Q191" s="31"/>
      <c r="R191" s="31"/>
      <c r="S191" s="3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</row>
    <row r="192" spans="1:35">
      <c r="A192" s="85"/>
      <c r="B192" s="21"/>
      <c r="C192" s="21"/>
      <c r="D192" s="21"/>
      <c r="E192" s="21"/>
      <c r="F192" s="21"/>
      <c r="G192" s="74"/>
      <c r="H192" s="76"/>
      <c r="I192" s="21"/>
      <c r="J192" s="86"/>
      <c r="K192" s="31"/>
      <c r="L192" s="31"/>
      <c r="M192" s="31"/>
      <c r="N192" s="31"/>
      <c r="O192" s="31"/>
      <c r="P192" s="31"/>
      <c r="Q192" s="31"/>
      <c r="R192" s="31"/>
      <c r="S192" s="3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</row>
    <row r="193" spans="1:35">
      <c r="A193" s="85"/>
      <c r="B193" s="21"/>
      <c r="C193" s="21"/>
      <c r="D193" s="21"/>
      <c r="E193" s="21"/>
      <c r="F193" s="21"/>
      <c r="G193" s="74"/>
      <c r="H193" s="76"/>
      <c r="I193" s="21"/>
      <c r="J193" s="86"/>
      <c r="K193" s="31"/>
      <c r="L193" s="31"/>
      <c r="M193" s="31"/>
      <c r="N193" s="31"/>
      <c r="O193" s="31"/>
      <c r="P193" s="31"/>
      <c r="Q193" s="31"/>
      <c r="R193" s="31"/>
      <c r="S193" s="3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</row>
    <row r="194" spans="1:35">
      <c r="A194" s="85"/>
      <c r="B194" s="21"/>
      <c r="C194" s="21"/>
      <c r="D194" s="21"/>
      <c r="E194" s="21"/>
      <c r="F194" s="21"/>
      <c r="G194" s="74"/>
      <c r="H194" s="76"/>
      <c r="I194" s="21"/>
      <c r="J194" s="86"/>
      <c r="K194" s="31"/>
      <c r="L194" s="31"/>
      <c r="M194" s="31"/>
      <c r="N194" s="31"/>
      <c r="O194" s="31"/>
      <c r="P194" s="31"/>
      <c r="Q194" s="31"/>
      <c r="R194" s="31"/>
      <c r="S194" s="3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</row>
    <row r="195" spans="1:35">
      <c r="A195" s="85"/>
      <c r="B195" s="21"/>
      <c r="C195" s="21"/>
      <c r="D195" s="21"/>
      <c r="E195" s="21"/>
      <c r="F195" s="21"/>
      <c r="G195" s="74"/>
      <c r="H195" s="76"/>
      <c r="I195" s="21"/>
      <c r="J195" s="86"/>
      <c r="K195" s="31"/>
      <c r="L195" s="31"/>
      <c r="M195" s="31"/>
      <c r="N195" s="31"/>
      <c r="O195" s="31"/>
      <c r="P195" s="31"/>
      <c r="Q195" s="31"/>
      <c r="R195" s="31"/>
      <c r="S195" s="3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</row>
    <row r="196" spans="1:35">
      <c r="A196" s="85"/>
      <c r="B196" s="21"/>
      <c r="C196" s="21"/>
      <c r="D196" s="21"/>
      <c r="E196" s="21"/>
      <c r="F196" s="21"/>
      <c r="G196" s="74"/>
      <c r="H196" s="76"/>
      <c r="I196" s="21"/>
      <c r="J196" s="86"/>
      <c r="K196" s="31"/>
      <c r="L196" s="31"/>
      <c r="M196" s="31"/>
      <c r="N196" s="31"/>
      <c r="O196" s="31"/>
      <c r="P196" s="31"/>
      <c r="Q196" s="31"/>
      <c r="R196" s="31"/>
      <c r="S196" s="3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</row>
    <row r="197" spans="1:35">
      <c r="A197" s="85"/>
      <c r="B197" s="21"/>
      <c r="C197" s="21"/>
      <c r="D197" s="21"/>
      <c r="E197" s="21"/>
      <c r="F197" s="21"/>
      <c r="G197" s="74"/>
      <c r="H197" s="76"/>
      <c r="I197" s="21"/>
      <c r="J197" s="86"/>
      <c r="K197" s="31"/>
      <c r="L197" s="31"/>
      <c r="M197" s="31"/>
      <c r="N197" s="31"/>
      <c r="O197" s="31"/>
      <c r="P197" s="31"/>
      <c r="Q197" s="31"/>
      <c r="R197" s="31"/>
      <c r="S197" s="3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</row>
    <row r="198" spans="1:35">
      <c r="A198" s="85"/>
      <c r="B198" s="21"/>
      <c r="C198" s="21"/>
      <c r="D198" s="21"/>
      <c r="E198" s="21"/>
      <c r="F198" s="21"/>
      <c r="G198" s="74"/>
      <c r="H198" s="76"/>
      <c r="I198" s="21"/>
      <c r="J198" s="86"/>
      <c r="K198" s="31"/>
      <c r="L198" s="31"/>
      <c r="M198" s="31"/>
      <c r="N198" s="31"/>
      <c r="O198" s="31"/>
      <c r="P198" s="31"/>
      <c r="Q198" s="31"/>
      <c r="R198" s="31"/>
      <c r="S198" s="3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</row>
    <row r="199" spans="1:35">
      <c r="A199" s="85"/>
      <c r="B199" s="21"/>
      <c r="C199" s="21"/>
      <c r="D199" s="21"/>
      <c r="E199" s="21"/>
      <c r="F199" s="21"/>
      <c r="G199" s="74"/>
      <c r="H199" s="76"/>
      <c r="I199" s="21"/>
      <c r="J199" s="86"/>
      <c r="K199" s="31"/>
      <c r="L199" s="31"/>
      <c r="M199" s="31"/>
      <c r="N199" s="31"/>
      <c r="O199" s="31"/>
      <c r="P199" s="31"/>
      <c r="Q199" s="31"/>
      <c r="R199" s="31"/>
      <c r="S199" s="3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</row>
    <row r="200" spans="1:35">
      <c r="A200" s="85"/>
      <c r="B200" s="21"/>
      <c r="C200" s="21"/>
      <c r="D200" s="21"/>
      <c r="E200" s="21"/>
      <c r="F200" s="21"/>
      <c r="G200" s="74"/>
      <c r="H200" s="76"/>
      <c r="I200" s="21"/>
      <c r="J200" s="86"/>
      <c r="K200" s="31"/>
      <c r="L200" s="31"/>
      <c r="M200" s="31"/>
      <c r="N200" s="31"/>
      <c r="O200" s="31"/>
      <c r="P200" s="31"/>
      <c r="Q200" s="31"/>
      <c r="R200" s="31"/>
      <c r="S200" s="3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</row>
    <row r="201" spans="1:35">
      <c r="A201" s="85"/>
      <c r="B201" s="21"/>
      <c r="C201" s="21"/>
      <c r="D201" s="21"/>
      <c r="E201" s="21"/>
      <c r="F201" s="21"/>
      <c r="G201" s="74"/>
      <c r="H201" s="76"/>
      <c r="I201" s="21"/>
      <c r="J201" s="86"/>
      <c r="K201" s="31"/>
      <c r="L201" s="31"/>
      <c r="M201" s="31"/>
      <c r="N201" s="31"/>
      <c r="O201" s="31"/>
      <c r="P201" s="31"/>
      <c r="Q201" s="31"/>
      <c r="R201" s="31"/>
      <c r="S201" s="3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</row>
    <row r="202" spans="1:35">
      <c r="A202" s="85"/>
      <c r="B202" s="21"/>
      <c r="C202" s="21"/>
      <c r="D202" s="21"/>
      <c r="E202" s="21"/>
      <c r="F202" s="21"/>
      <c r="G202" s="74"/>
      <c r="H202" s="76"/>
      <c r="I202" s="21"/>
      <c r="J202" s="86"/>
      <c r="K202" s="31"/>
      <c r="L202" s="31"/>
      <c r="M202" s="31"/>
      <c r="N202" s="31"/>
      <c r="O202" s="31"/>
      <c r="P202" s="31"/>
      <c r="Q202" s="31"/>
      <c r="R202" s="31"/>
      <c r="S202" s="3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</row>
    <row r="203" spans="1:35">
      <c r="A203" s="85"/>
      <c r="B203" s="21"/>
      <c r="C203" s="21"/>
      <c r="D203" s="21"/>
      <c r="E203" s="21"/>
      <c r="F203" s="21"/>
      <c r="G203" s="74"/>
      <c r="H203" s="76"/>
      <c r="I203" s="21"/>
      <c r="J203" s="86"/>
      <c r="K203" s="31"/>
      <c r="L203" s="31"/>
      <c r="M203" s="31"/>
      <c r="N203" s="31"/>
      <c r="O203" s="31"/>
      <c r="P203" s="31"/>
      <c r="Q203" s="31"/>
      <c r="R203" s="31"/>
      <c r="S203" s="3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</row>
    <row r="204" spans="1:35">
      <c r="A204" s="85"/>
      <c r="B204" s="21"/>
      <c r="C204" s="21"/>
      <c r="D204" s="21"/>
      <c r="E204" s="21"/>
      <c r="F204" s="21"/>
      <c r="G204" s="74"/>
      <c r="H204" s="76"/>
      <c r="I204" s="21"/>
      <c r="J204" s="86"/>
      <c r="K204" s="31"/>
      <c r="L204" s="31"/>
      <c r="M204" s="31"/>
      <c r="N204" s="31"/>
      <c r="O204" s="31"/>
      <c r="P204" s="31"/>
      <c r="Q204" s="31"/>
      <c r="R204" s="31"/>
      <c r="S204" s="3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</row>
    <row r="205" spans="1:35">
      <c r="A205" s="85"/>
      <c r="B205" s="21"/>
      <c r="C205" s="21"/>
      <c r="D205" s="21"/>
      <c r="E205" s="21"/>
      <c r="F205" s="21"/>
      <c r="G205" s="74"/>
      <c r="H205" s="76"/>
      <c r="I205" s="21"/>
      <c r="J205" s="86"/>
      <c r="K205" s="31"/>
      <c r="L205" s="31"/>
      <c r="M205" s="31"/>
      <c r="N205" s="31"/>
      <c r="O205" s="31"/>
      <c r="P205" s="31"/>
      <c r="Q205" s="31"/>
      <c r="R205" s="31"/>
      <c r="S205" s="3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</row>
    <row r="206" spans="1:35">
      <c r="A206" s="85"/>
      <c r="B206" s="21"/>
      <c r="C206" s="21"/>
      <c r="D206" s="21"/>
      <c r="E206" s="21"/>
      <c r="F206" s="21"/>
      <c r="G206" s="74"/>
      <c r="H206" s="76"/>
      <c r="I206" s="21"/>
      <c r="J206" s="86"/>
      <c r="K206" s="31"/>
      <c r="L206" s="31"/>
      <c r="M206" s="31"/>
      <c r="N206" s="31"/>
      <c r="O206" s="31"/>
      <c r="P206" s="31"/>
      <c r="Q206" s="31"/>
      <c r="R206" s="31"/>
      <c r="S206" s="3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</row>
    <row r="207" spans="1:35">
      <c r="A207" s="85"/>
      <c r="B207" s="21"/>
      <c r="C207" s="21"/>
      <c r="D207" s="21"/>
      <c r="E207" s="21"/>
      <c r="F207" s="21"/>
      <c r="G207" s="74"/>
      <c r="H207" s="76"/>
      <c r="I207" s="21"/>
      <c r="J207" s="86"/>
      <c r="K207" s="31"/>
      <c r="L207" s="31"/>
      <c r="M207" s="31"/>
      <c r="N207" s="31"/>
      <c r="O207" s="31"/>
      <c r="P207" s="31"/>
      <c r="Q207" s="31"/>
      <c r="R207" s="31"/>
      <c r="S207" s="3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</row>
    <row r="208" spans="1:35">
      <c r="A208" s="85"/>
      <c r="B208" s="21"/>
      <c r="C208" s="21"/>
      <c r="D208" s="21"/>
      <c r="E208" s="21"/>
      <c r="F208" s="21"/>
      <c r="G208" s="74"/>
      <c r="H208" s="76"/>
      <c r="I208" s="21"/>
      <c r="J208" s="86"/>
      <c r="K208" s="31"/>
      <c r="L208" s="31"/>
      <c r="M208" s="31"/>
      <c r="N208" s="31"/>
      <c r="O208" s="31"/>
      <c r="P208" s="31"/>
      <c r="Q208" s="31"/>
      <c r="R208" s="31"/>
      <c r="S208" s="3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</row>
    <row r="209" spans="1:35">
      <c r="A209" s="85"/>
      <c r="B209" s="21"/>
      <c r="C209" s="21"/>
      <c r="D209" s="21"/>
      <c r="E209" s="21"/>
      <c r="F209" s="21"/>
      <c r="G209" s="74"/>
      <c r="H209" s="76"/>
      <c r="I209" s="21"/>
      <c r="J209" s="86"/>
      <c r="K209" s="31"/>
      <c r="L209" s="31"/>
      <c r="M209" s="31"/>
      <c r="N209" s="31"/>
      <c r="O209" s="31"/>
      <c r="P209" s="31"/>
      <c r="Q209" s="31"/>
      <c r="R209" s="31"/>
      <c r="S209" s="3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</row>
    <row r="210" spans="1:35">
      <c r="A210" s="85"/>
      <c r="B210" s="21"/>
      <c r="C210" s="21"/>
      <c r="D210" s="21"/>
      <c r="E210" s="21"/>
      <c r="F210" s="21"/>
      <c r="G210" s="74"/>
      <c r="H210" s="76"/>
      <c r="I210" s="21"/>
      <c r="J210" s="86"/>
      <c r="K210" s="31"/>
      <c r="L210" s="31"/>
      <c r="M210" s="31"/>
      <c r="N210" s="31"/>
      <c r="O210" s="31"/>
      <c r="P210" s="31"/>
      <c r="Q210" s="31"/>
      <c r="R210" s="31"/>
      <c r="S210" s="3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</row>
    <row r="211" spans="1:35">
      <c r="A211" s="85"/>
      <c r="B211" s="21"/>
      <c r="C211" s="21"/>
      <c r="D211" s="21"/>
      <c r="E211" s="21"/>
      <c r="F211" s="21"/>
      <c r="G211" s="74"/>
      <c r="H211" s="76"/>
      <c r="I211" s="21"/>
      <c r="J211" s="86"/>
      <c r="K211" s="31"/>
      <c r="L211" s="31"/>
      <c r="M211" s="31"/>
      <c r="N211" s="31"/>
      <c r="O211" s="31"/>
      <c r="P211" s="31"/>
      <c r="Q211" s="31"/>
      <c r="R211" s="31"/>
      <c r="S211" s="3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</row>
    <row r="212" spans="1:35">
      <c r="A212" s="85"/>
      <c r="B212" s="21"/>
      <c r="C212" s="21"/>
      <c r="D212" s="21"/>
      <c r="E212" s="21"/>
      <c r="F212" s="21"/>
      <c r="G212" s="74"/>
      <c r="H212" s="76"/>
      <c r="I212" s="21"/>
      <c r="J212" s="86"/>
      <c r="K212" s="31"/>
      <c r="L212" s="31"/>
      <c r="M212" s="31"/>
      <c r="N212" s="31"/>
      <c r="O212" s="31"/>
      <c r="P212" s="31"/>
      <c r="Q212" s="31"/>
      <c r="R212" s="31"/>
      <c r="S212" s="3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</row>
    <row r="213" spans="1:35">
      <c r="A213" s="85"/>
      <c r="B213" s="21"/>
      <c r="C213" s="21"/>
      <c r="D213" s="21"/>
      <c r="E213" s="21"/>
      <c r="F213" s="21"/>
      <c r="G213" s="74"/>
      <c r="H213" s="76"/>
      <c r="I213" s="21"/>
      <c r="J213" s="86"/>
      <c r="K213" s="31"/>
      <c r="L213" s="31"/>
      <c r="M213" s="31"/>
      <c r="N213" s="31"/>
      <c r="O213" s="31"/>
      <c r="P213" s="31"/>
      <c r="Q213" s="31"/>
      <c r="R213" s="31"/>
      <c r="S213" s="3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</row>
    <row r="214" spans="1:35">
      <c r="A214" s="85"/>
      <c r="B214" s="21"/>
      <c r="C214" s="21"/>
      <c r="D214" s="21"/>
      <c r="E214" s="21"/>
      <c r="F214" s="21"/>
      <c r="G214" s="74"/>
      <c r="H214" s="76"/>
      <c r="I214" s="21"/>
      <c r="J214" s="86"/>
      <c r="K214" s="31"/>
      <c r="L214" s="31"/>
      <c r="M214" s="31"/>
      <c r="N214" s="31"/>
      <c r="O214" s="31"/>
      <c r="P214" s="31"/>
      <c r="Q214" s="31"/>
      <c r="R214" s="31"/>
      <c r="S214" s="3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</row>
    <row r="215" spans="1:35">
      <c r="A215" s="85"/>
      <c r="B215" s="21"/>
      <c r="C215" s="21"/>
      <c r="D215" s="21"/>
      <c r="E215" s="21"/>
      <c r="F215" s="21"/>
      <c r="G215" s="74"/>
      <c r="H215" s="76"/>
      <c r="I215" s="21"/>
      <c r="J215" s="86"/>
      <c r="K215" s="31"/>
      <c r="L215" s="31"/>
      <c r="M215" s="31"/>
      <c r="N215" s="31"/>
      <c r="O215" s="31"/>
      <c r="P215" s="31"/>
      <c r="Q215" s="31"/>
      <c r="R215" s="31"/>
      <c r="S215" s="3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</row>
    <row r="216" spans="1:35">
      <c r="A216" s="85"/>
      <c r="B216" s="21"/>
      <c r="C216" s="21"/>
      <c r="D216" s="21"/>
      <c r="E216" s="21"/>
      <c r="F216" s="21"/>
      <c r="G216" s="74"/>
      <c r="H216" s="76"/>
      <c r="I216" s="21"/>
      <c r="J216" s="86"/>
      <c r="K216" s="31"/>
      <c r="L216" s="31"/>
      <c r="M216" s="31"/>
      <c r="N216" s="31"/>
      <c r="O216" s="31"/>
      <c r="P216" s="31"/>
      <c r="Q216" s="31"/>
      <c r="R216" s="31"/>
      <c r="S216" s="3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</row>
    <row r="217" spans="1:35">
      <c r="A217" s="85"/>
      <c r="B217" s="21"/>
      <c r="C217" s="21"/>
      <c r="D217" s="21"/>
      <c r="E217" s="21"/>
      <c r="F217" s="21"/>
      <c r="G217" s="74"/>
      <c r="H217" s="76"/>
      <c r="I217" s="21"/>
      <c r="J217" s="86"/>
      <c r="K217" s="31"/>
      <c r="L217" s="31"/>
      <c r="M217" s="31"/>
      <c r="N217" s="31"/>
      <c r="O217" s="31"/>
      <c r="P217" s="31"/>
      <c r="Q217" s="31"/>
      <c r="R217" s="31"/>
      <c r="S217" s="3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</row>
    <row r="218" spans="1:35">
      <c r="A218" s="85"/>
      <c r="B218" s="21"/>
      <c r="C218" s="21"/>
      <c r="D218" s="21"/>
      <c r="E218" s="21"/>
      <c r="F218" s="21"/>
      <c r="G218" s="74"/>
      <c r="H218" s="76"/>
      <c r="I218" s="21"/>
      <c r="J218" s="86"/>
      <c r="K218" s="31"/>
      <c r="L218" s="31"/>
      <c r="M218" s="31"/>
      <c r="N218" s="31"/>
      <c r="O218" s="31"/>
      <c r="P218" s="31"/>
      <c r="Q218" s="31"/>
      <c r="R218" s="31"/>
      <c r="S218" s="3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</row>
    <row r="219" spans="1:35">
      <c r="A219" s="85"/>
      <c r="B219" s="21"/>
      <c r="C219" s="21"/>
      <c r="D219" s="21"/>
      <c r="E219" s="21"/>
      <c r="F219" s="21"/>
      <c r="G219" s="74"/>
      <c r="H219" s="76"/>
      <c r="I219" s="21"/>
      <c r="J219" s="86"/>
      <c r="K219" s="31"/>
      <c r="L219" s="31"/>
      <c r="M219" s="31"/>
      <c r="N219" s="31"/>
      <c r="O219" s="31"/>
      <c r="P219" s="31"/>
      <c r="Q219" s="31"/>
      <c r="R219" s="31"/>
      <c r="S219" s="3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</row>
    <row r="220" spans="1:35">
      <c r="A220" s="85"/>
      <c r="B220" s="21"/>
      <c r="C220" s="21"/>
      <c r="D220" s="21"/>
      <c r="E220" s="21"/>
      <c r="F220" s="21"/>
      <c r="G220" s="74"/>
      <c r="H220" s="76"/>
      <c r="I220" s="21"/>
      <c r="J220" s="86"/>
      <c r="K220" s="31"/>
      <c r="L220" s="31"/>
      <c r="M220" s="31"/>
      <c r="N220" s="31"/>
      <c r="O220" s="31"/>
      <c r="P220" s="31"/>
      <c r="Q220" s="31"/>
      <c r="R220" s="31"/>
      <c r="S220" s="3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</row>
    <row r="221" spans="1:35">
      <c r="A221" s="85"/>
      <c r="B221" s="21"/>
      <c r="C221" s="21"/>
      <c r="D221" s="21"/>
      <c r="E221" s="21"/>
      <c r="F221" s="21"/>
      <c r="G221" s="74"/>
      <c r="H221" s="76"/>
      <c r="I221" s="21"/>
      <c r="J221" s="86"/>
      <c r="K221" s="31"/>
      <c r="L221" s="31"/>
      <c r="M221" s="31"/>
      <c r="N221" s="31"/>
      <c r="O221" s="31"/>
      <c r="P221" s="31"/>
      <c r="Q221" s="31"/>
      <c r="R221" s="31"/>
      <c r="S221" s="3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</row>
    <row r="222" spans="1:35">
      <c r="A222" s="85"/>
      <c r="B222" s="21"/>
      <c r="C222" s="21"/>
      <c r="D222" s="21"/>
      <c r="E222" s="21"/>
      <c r="F222" s="21"/>
      <c r="G222" s="74"/>
      <c r="H222" s="76"/>
      <c r="I222" s="21"/>
      <c r="J222" s="86"/>
      <c r="K222" s="31"/>
      <c r="L222" s="31"/>
      <c r="M222" s="31"/>
      <c r="N222" s="31"/>
      <c r="O222" s="31"/>
      <c r="P222" s="31"/>
      <c r="Q222" s="31"/>
      <c r="R222" s="31"/>
      <c r="S222" s="3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</row>
    <row r="223" spans="1:35">
      <c r="A223" s="85"/>
      <c r="B223" s="21"/>
      <c r="C223" s="21"/>
      <c r="D223" s="21"/>
      <c r="E223" s="21"/>
      <c r="F223" s="21"/>
      <c r="G223" s="74"/>
      <c r="H223" s="76"/>
      <c r="I223" s="21"/>
      <c r="J223" s="86"/>
      <c r="K223" s="31"/>
      <c r="L223" s="31"/>
      <c r="M223" s="31"/>
      <c r="N223" s="31"/>
      <c r="O223" s="31"/>
      <c r="P223" s="31"/>
      <c r="Q223" s="31"/>
      <c r="R223" s="31"/>
      <c r="S223" s="3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</row>
    <row r="224" spans="1:35">
      <c r="A224" s="85"/>
      <c r="B224" s="21"/>
      <c r="C224" s="21"/>
      <c r="D224" s="21"/>
      <c r="E224" s="21"/>
      <c r="F224" s="21"/>
      <c r="G224" s="74"/>
      <c r="H224" s="76"/>
      <c r="I224" s="21"/>
      <c r="J224" s="86"/>
      <c r="K224" s="31"/>
      <c r="L224" s="31"/>
      <c r="M224" s="31"/>
      <c r="N224" s="31"/>
      <c r="O224" s="31"/>
      <c r="P224" s="31"/>
      <c r="Q224" s="31"/>
      <c r="R224" s="31"/>
      <c r="S224" s="3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</row>
    <row r="225" spans="1:35">
      <c r="A225" s="85"/>
      <c r="B225" s="21"/>
      <c r="C225" s="21"/>
      <c r="D225" s="21"/>
      <c r="E225" s="21"/>
      <c r="F225" s="21"/>
      <c r="G225" s="74"/>
      <c r="H225" s="76"/>
      <c r="I225" s="21"/>
      <c r="J225" s="86"/>
      <c r="K225" s="31"/>
      <c r="L225" s="31"/>
      <c r="M225" s="31"/>
      <c r="N225" s="31"/>
      <c r="O225" s="31"/>
      <c r="P225" s="31"/>
      <c r="Q225" s="31"/>
      <c r="R225" s="31"/>
      <c r="S225" s="3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</row>
    <row r="226" spans="1:35">
      <c r="A226" s="85"/>
      <c r="B226" s="21"/>
      <c r="C226" s="21"/>
      <c r="D226" s="21"/>
      <c r="E226" s="21"/>
      <c r="F226" s="21"/>
      <c r="G226" s="74"/>
      <c r="H226" s="76"/>
      <c r="I226" s="21"/>
      <c r="J226" s="86"/>
      <c r="K226" s="31"/>
      <c r="L226" s="31"/>
      <c r="M226" s="31"/>
      <c r="N226" s="31"/>
      <c r="O226" s="31"/>
      <c r="P226" s="31"/>
      <c r="Q226" s="31"/>
      <c r="R226" s="31"/>
      <c r="S226" s="3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</row>
    <row r="227" spans="1:35">
      <c r="A227" s="85"/>
      <c r="B227" s="21"/>
      <c r="C227" s="21"/>
      <c r="D227" s="21"/>
      <c r="E227" s="21"/>
      <c r="F227" s="21"/>
      <c r="G227" s="74"/>
      <c r="H227" s="76"/>
      <c r="I227" s="21"/>
      <c r="J227" s="86"/>
      <c r="K227" s="31"/>
      <c r="L227" s="31"/>
      <c r="M227" s="31"/>
      <c r="N227" s="31"/>
      <c r="O227" s="31"/>
      <c r="P227" s="31"/>
      <c r="Q227" s="31"/>
      <c r="R227" s="31"/>
      <c r="S227" s="3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</row>
    <row r="228" spans="1:35">
      <c r="A228" s="85"/>
      <c r="B228" s="21"/>
      <c r="C228" s="21"/>
      <c r="D228" s="21"/>
      <c r="E228" s="21"/>
      <c r="F228" s="21"/>
      <c r="G228" s="74"/>
      <c r="H228" s="76"/>
      <c r="I228" s="21"/>
      <c r="J228" s="86"/>
      <c r="K228" s="31"/>
      <c r="L228" s="31"/>
      <c r="M228" s="31"/>
      <c r="N228" s="31"/>
      <c r="O228" s="31"/>
      <c r="P228" s="31"/>
      <c r="Q228" s="31"/>
      <c r="R228" s="31"/>
      <c r="S228" s="3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</row>
    <row r="229" spans="1:35">
      <c r="A229" s="85"/>
      <c r="B229" s="21"/>
      <c r="C229" s="21"/>
      <c r="D229" s="21"/>
      <c r="E229" s="21"/>
      <c r="F229" s="21"/>
      <c r="G229" s="74"/>
      <c r="H229" s="76"/>
      <c r="I229" s="21"/>
      <c r="J229" s="86"/>
      <c r="K229" s="31"/>
      <c r="L229" s="31"/>
      <c r="M229" s="31"/>
      <c r="N229" s="31"/>
      <c r="O229" s="31"/>
      <c r="P229" s="31"/>
      <c r="Q229" s="31"/>
      <c r="R229" s="31"/>
      <c r="S229" s="3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</row>
    <row r="230" spans="1:35">
      <c r="A230" s="85"/>
      <c r="B230" s="21"/>
      <c r="C230" s="21"/>
      <c r="D230" s="21"/>
      <c r="E230" s="21"/>
      <c r="F230" s="21"/>
      <c r="G230" s="74"/>
      <c r="H230" s="76"/>
      <c r="I230" s="21"/>
      <c r="J230" s="86"/>
      <c r="K230" s="31"/>
      <c r="L230" s="31"/>
      <c r="M230" s="31"/>
      <c r="N230" s="31"/>
      <c r="O230" s="31"/>
      <c r="P230" s="31"/>
      <c r="Q230" s="31"/>
      <c r="R230" s="31"/>
      <c r="S230" s="3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</row>
    <row r="231" spans="1:35">
      <c r="A231" s="85"/>
      <c r="B231" s="21"/>
      <c r="C231" s="21"/>
      <c r="D231" s="21"/>
      <c r="E231" s="21"/>
      <c r="F231" s="21"/>
      <c r="G231" s="74"/>
      <c r="H231" s="76"/>
      <c r="I231" s="21"/>
      <c r="J231" s="86"/>
      <c r="K231" s="31"/>
      <c r="L231" s="31"/>
      <c r="M231" s="31"/>
      <c r="N231" s="31"/>
      <c r="O231" s="31"/>
      <c r="P231" s="31"/>
      <c r="Q231" s="31"/>
      <c r="R231" s="31"/>
      <c r="S231" s="3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</row>
    <row r="232" spans="1:35">
      <c r="A232" s="85"/>
      <c r="B232" s="21"/>
      <c r="C232" s="21"/>
      <c r="D232" s="21"/>
      <c r="E232" s="21"/>
      <c r="F232" s="21"/>
      <c r="G232" s="74"/>
      <c r="H232" s="76"/>
      <c r="I232" s="21"/>
      <c r="J232" s="86"/>
      <c r="K232" s="31"/>
      <c r="L232" s="31"/>
      <c r="M232" s="31"/>
      <c r="N232" s="31"/>
      <c r="O232" s="31"/>
      <c r="P232" s="31"/>
      <c r="Q232" s="31"/>
      <c r="R232" s="31"/>
      <c r="S232" s="3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</row>
    <row r="233" spans="1:35">
      <c r="A233" s="85"/>
      <c r="B233" s="21"/>
      <c r="C233" s="21"/>
      <c r="D233" s="21"/>
      <c r="E233" s="21"/>
      <c r="F233" s="21"/>
      <c r="G233" s="74"/>
      <c r="H233" s="76"/>
      <c r="I233" s="21"/>
      <c r="J233" s="86"/>
      <c r="K233" s="31"/>
      <c r="L233" s="31"/>
      <c r="M233" s="31"/>
      <c r="N233" s="31"/>
      <c r="O233" s="31"/>
      <c r="P233" s="31"/>
      <c r="Q233" s="31"/>
      <c r="R233" s="31"/>
      <c r="S233" s="3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</row>
    <row r="234" spans="1:35">
      <c r="A234" s="85"/>
      <c r="B234" s="21"/>
      <c r="C234" s="21"/>
      <c r="D234" s="21"/>
      <c r="E234" s="21"/>
      <c r="F234" s="21"/>
      <c r="G234" s="74"/>
      <c r="H234" s="76"/>
      <c r="I234" s="21"/>
      <c r="J234" s="86"/>
      <c r="K234" s="31"/>
      <c r="L234" s="31"/>
      <c r="M234" s="31"/>
      <c r="N234" s="31"/>
      <c r="O234" s="31"/>
      <c r="P234" s="31"/>
      <c r="Q234" s="31"/>
      <c r="R234" s="31"/>
      <c r="S234" s="3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</row>
    <row r="235" spans="1:35">
      <c r="A235" s="85"/>
      <c r="B235" s="21"/>
      <c r="C235" s="21"/>
      <c r="D235" s="21"/>
      <c r="E235" s="21"/>
      <c r="F235" s="21"/>
      <c r="G235" s="74"/>
      <c r="H235" s="76"/>
      <c r="I235" s="21"/>
      <c r="J235" s="86"/>
      <c r="K235" s="31"/>
      <c r="L235" s="31"/>
      <c r="M235" s="31"/>
      <c r="N235" s="31"/>
      <c r="O235" s="31"/>
      <c r="P235" s="31"/>
      <c r="Q235" s="31"/>
      <c r="R235" s="31"/>
      <c r="S235" s="3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</row>
    <row r="236" spans="1:35">
      <c r="A236" s="85"/>
      <c r="B236" s="21"/>
      <c r="C236" s="21"/>
      <c r="D236" s="21"/>
      <c r="E236" s="21"/>
      <c r="F236" s="21"/>
      <c r="G236" s="74"/>
      <c r="H236" s="76"/>
      <c r="I236" s="21"/>
      <c r="J236" s="86"/>
      <c r="K236" s="31"/>
      <c r="L236" s="31"/>
      <c r="M236" s="31"/>
      <c r="N236" s="31"/>
      <c r="O236" s="31"/>
      <c r="P236" s="31"/>
      <c r="Q236" s="31"/>
      <c r="R236" s="31"/>
      <c r="S236" s="3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</row>
    <row r="237" spans="1:35">
      <c r="A237" s="85"/>
      <c r="B237" s="21"/>
      <c r="C237" s="21"/>
      <c r="D237" s="21"/>
      <c r="E237" s="21"/>
      <c r="F237" s="21"/>
      <c r="G237" s="74"/>
      <c r="H237" s="76"/>
      <c r="I237" s="21"/>
      <c r="J237" s="86"/>
      <c r="K237" s="31"/>
      <c r="L237" s="31"/>
      <c r="M237" s="31"/>
      <c r="N237" s="31"/>
      <c r="O237" s="31"/>
      <c r="P237" s="31"/>
      <c r="Q237" s="31"/>
      <c r="R237" s="31"/>
      <c r="S237" s="3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</row>
    <row r="238" spans="1:35">
      <c r="A238" s="85"/>
      <c r="B238" s="21"/>
      <c r="C238" s="21"/>
      <c r="D238" s="21"/>
      <c r="E238" s="21"/>
      <c r="F238" s="21"/>
      <c r="G238" s="74"/>
      <c r="H238" s="76"/>
      <c r="I238" s="21"/>
      <c r="J238" s="86"/>
      <c r="K238" s="31"/>
      <c r="L238" s="31"/>
      <c r="M238" s="31"/>
      <c r="N238" s="31"/>
      <c r="O238" s="31"/>
      <c r="P238" s="31"/>
      <c r="Q238" s="31"/>
      <c r="R238" s="31"/>
      <c r="S238" s="3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</row>
    <row r="239" spans="1:35">
      <c r="A239" s="85"/>
      <c r="B239" s="21"/>
      <c r="C239" s="21"/>
      <c r="D239" s="21"/>
      <c r="E239" s="21"/>
      <c r="F239" s="21"/>
      <c r="G239" s="74"/>
      <c r="H239" s="76"/>
      <c r="I239" s="21"/>
      <c r="J239" s="86"/>
      <c r="K239" s="31"/>
      <c r="L239" s="31"/>
      <c r="M239" s="31"/>
      <c r="N239" s="31"/>
      <c r="O239" s="31"/>
      <c r="P239" s="31"/>
      <c r="Q239" s="31"/>
      <c r="R239" s="31"/>
      <c r="S239" s="3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</row>
    <row r="240" spans="1:35">
      <c r="A240" s="85"/>
      <c r="B240" s="21"/>
      <c r="C240" s="21"/>
      <c r="D240" s="21"/>
      <c r="E240" s="21"/>
      <c r="F240" s="21"/>
      <c r="G240" s="74"/>
      <c r="H240" s="76"/>
      <c r="I240" s="21"/>
      <c r="J240" s="86"/>
      <c r="K240" s="31"/>
      <c r="L240" s="31"/>
      <c r="M240" s="31"/>
      <c r="N240" s="31"/>
      <c r="O240" s="31"/>
      <c r="P240" s="31"/>
      <c r="Q240" s="31"/>
      <c r="R240" s="31"/>
      <c r="S240" s="3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</row>
    <row r="241" spans="1:35">
      <c r="A241" s="85"/>
      <c r="B241" s="21"/>
      <c r="C241" s="21"/>
      <c r="D241" s="21"/>
      <c r="E241" s="21"/>
      <c r="F241" s="21"/>
      <c r="G241" s="74"/>
      <c r="H241" s="76"/>
      <c r="I241" s="21"/>
      <c r="J241" s="86"/>
      <c r="K241" s="31"/>
      <c r="L241" s="31"/>
      <c r="M241" s="31"/>
      <c r="N241" s="31"/>
      <c r="O241" s="31"/>
      <c r="P241" s="31"/>
      <c r="Q241" s="31"/>
      <c r="R241" s="31"/>
      <c r="S241" s="3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</row>
    <row r="242" spans="1:35">
      <c r="A242" s="85"/>
      <c r="B242" s="21"/>
      <c r="C242" s="21"/>
      <c r="D242" s="21"/>
      <c r="E242" s="21"/>
      <c r="F242" s="21"/>
      <c r="G242" s="74"/>
      <c r="H242" s="76"/>
      <c r="I242" s="21"/>
      <c r="J242" s="86"/>
      <c r="K242" s="31"/>
      <c r="L242" s="31"/>
      <c r="M242" s="31"/>
      <c r="N242" s="31"/>
      <c r="O242" s="31"/>
      <c r="P242" s="31"/>
      <c r="Q242" s="31"/>
      <c r="R242" s="31"/>
      <c r="S242" s="3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</row>
    <row r="243" spans="1:35">
      <c r="A243" s="85"/>
      <c r="B243" s="21"/>
      <c r="C243" s="21"/>
      <c r="D243" s="21"/>
      <c r="E243" s="21"/>
      <c r="F243" s="21"/>
      <c r="G243" s="74"/>
      <c r="H243" s="76"/>
      <c r="I243" s="21"/>
      <c r="J243" s="86"/>
      <c r="K243" s="31"/>
      <c r="L243" s="31"/>
      <c r="M243" s="31"/>
      <c r="N243" s="31"/>
      <c r="O243" s="31"/>
      <c r="P243" s="31"/>
      <c r="Q243" s="31"/>
      <c r="R243" s="31"/>
      <c r="S243" s="3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</row>
    <row r="244" spans="1:35">
      <c r="A244" s="85"/>
      <c r="B244" s="21"/>
      <c r="C244" s="21"/>
      <c r="D244" s="21"/>
      <c r="E244" s="21"/>
      <c r="F244" s="21"/>
      <c r="G244" s="74"/>
      <c r="H244" s="76"/>
      <c r="I244" s="21"/>
      <c r="J244" s="86"/>
      <c r="K244" s="31"/>
      <c r="L244" s="31"/>
      <c r="M244" s="31"/>
      <c r="N244" s="31"/>
      <c r="O244" s="31"/>
      <c r="P244" s="31"/>
      <c r="Q244" s="31"/>
      <c r="R244" s="31"/>
      <c r="S244" s="3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</row>
    <row r="245" spans="1:35">
      <c r="A245" s="85"/>
      <c r="B245" s="21"/>
      <c r="C245" s="21"/>
      <c r="D245" s="21"/>
      <c r="E245" s="21"/>
      <c r="F245" s="21"/>
      <c r="G245" s="74"/>
      <c r="H245" s="76"/>
      <c r="I245" s="21"/>
      <c r="J245" s="86"/>
      <c r="K245" s="31"/>
      <c r="L245" s="31"/>
      <c r="M245" s="31"/>
      <c r="N245" s="31"/>
      <c r="O245" s="31"/>
      <c r="P245" s="31"/>
      <c r="Q245" s="31"/>
      <c r="R245" s="31"/>
      <c r="S245" s="3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</row>
    <row r="246" spans="1:35">
      <c r="A246" s="85"/>
      <c r="B246" s="21"/>
      <c r="C246" s="21"/>
      <c r="D246" s="21"/>
      <c r="E246" s="21"/>
      <c r="F246" s="21"/>
      <c r="G246" s="74"/>
      <c r="H246" s="76"/>
      <c r="I246" s="21"/>
      <c r="J246" s="86"/>
      <c r="K246" s="31"/>
      <c r="L246" s="31"/>
      <c r="M246" s="31"/>
      <c r="N246" s="31"/>
      <c r="O246" s="31"/>
      <c r="P246" s="31"/>
      <c r="Q246" s="31"/>
      <c r="R246" s="31"/>
      <c r="S246" s="3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</row>
    <row r="247" spans="1:35">
      <c r="A247" s="85"/>
      <c r="B247" s="21"/>
      <c r="C247" s="21"/>
      <c r="D247" s="21"/>
      <c r="E247" s="21"/>
      <c r="F247" s="21"/>
      <c r="G247" s="74"/>
      <c r="H247" s="76"/>
      <c r="I247" s="21"/>
      <c r="J247" s="86"/>
      <c r="K247" s="31"/>
      <c r="L247" s="31"/>
      <c r="M247" s="31"/>
      <c r="N247" s="31"/>
      <c r="O247" s="31"/>
      <c r="P247" s="31"/>
      <c r="Q247" s="31"/>
      <c r="R247" s="31"/>
      <c r="S247" s="3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</row>
    <row r="248" spans="1:35">
      <c r="A248" s="85"/>
      <c r="B248" s="21"/>
      <c r="C248" s="21"/>
      <c r="D248" s="21"/>
      <c r="E248" s="21"/>
      <c r="F248" s="21"/>
      <c r="G248" s="74"/>
      <c r="H248" s="76"/>
      <c r="I248" s="21"/>
      <c r="J248" s="86"/>
      <c r="K248" s="31"/>
      <c r="L248" s="31"/>
      <c r="M248" s="31"/>
      <c r="N248" s="31"/>
      <c r="O248" s="31"/>
      <c r="P248" s="31"/>
      <c r="Q248" s="31"/>
      <c r="R248" s="31"/>
      <c r="S248" s="3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</row>
    <row r="249" spans="1:35">
      <c r="A249" s="85"/>
      <c r="B249" s="21"/>
      <c r="C249" s="21"/>
      <c r="D249" s="21"/>
      <c r="E249" s="21"/>
      <c r="F249" s="21"/>
      <c r="G249" s="74"/>
      <c r="H249" s="76"/>
      <c r="I249" s="21"/>
      <c r="J249" s="86"/>
      <c r="K249" s="31"/>
      <c r="L249" s="31"/>
      <c r="M249" s="31"/>
      <c r="N249" s="31"/>
      <c r="O249" s="31"/>
      <c r="P249" s="31"/>
      <c r="Q249" s="31"/>
      <c r="R249" s="31"/>
      <c r="S249" s="3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</row>
    <row r="250" spans="1:35">
      <c r="A250" s="85"/>
      <c r="B250" s="21"/>
      <c r="C250" s="21"/>
      <c r="D250" s="21"/>
      <c r="E250" s="21"/>
      <c r="F250" s="21"/>
      <c r="G250" s="74"/>
      <c r="H250" s="76"/>
      <c r="I250" s="21"/>
      <c r="J250" s="86"/>
      <c r="K250" s="31"/>
      <c r="L250" s="31"/>
      <c r="M250" s="31"/>
      <c r="N250" s="31"/>
      <c r="O250" s="31"/>
      <c r="P250" s="31"/>
      <c r="Q250" s="31"/>
      <c r="R250" s="31"/>
      <c r="S250" s="3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</row>
    <row r="251" spans="1:35">
      <c r="A251" s="85"/>
      <c r="B251" s="21"/>
      <c r="C251" s="21"/>
      <c r="D251" s="21"/>
      <c r="E251" s="21"/>
      <c r="F251" s="21"/>
      <c r="G251" s="74"/>
      <c r="H251" s="76"/>
      <c r="I251" s="21"/>
      <c r="J251" s="86"/>
      <c r="K251" s="31"/>
      <c r="L251" s="31"/>
      <c r="M251" s="31"/>
      <c r="N251" s="31"/>
      <c r="O251" s="31"/>
      <c r="P251" s="31"/>
      <c r="Q251" s="31"/>
      <c r="R251" s="31"/>
      <c r="S251" s="3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</row>
    <row r="252" spans="1:35">
      <c r="A252" s="85"/>
      <c r="B252" s="21"/>
      <c r="C252" s="21"/>
      <c r="D252" s="21"/>
      <c r="E252" s="21"/>
      <c r="F252" s="21"/>
      <c r="G252" s="74"/>
      <c r="H252" s="76"/>
      <c r="I252" s="21"/>
      <c r="J252" s="86"/>
      <c r="K252" s="31"/>
      <c r="L252" s="31"/>
      <c r="M252" s="31"/>
      <c r="N252" s="31"/>
      <c r="O252" s="31"/>
      <c r="P252" s="31"/>
      <c r="Q252" s="31"/>
      <c r="R252" s="31"/>
      <c r="S252" s="3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</row>
    <row r="253" spans="1:35">
      <c r="A253" s="85"/>
      <c r="B253" s="21"/>
      <c r="C253" s="21"/>
      <c r="D253" s="21"/>
      <c r="E253" s="21"/>
      <c r="F253" s="21"/>
      <c r="G253" s="74"/>
      <c r="H253" s="76"/>
      <c r="I253" s="21"/>
      <c r="J253" s="86"/>
      <c r="K253" s="31"/>
      <c r="L253" s="31"/>
      <c r="M253" s="31"/>
      <c r="N253" s="31"/>
      <c r="O253" s="31"/>
      <c r="P253" s="31"/>
      <c r="Q253" s="31"/>
      <c r="R253" s="31"/>
      <c r="S253" s="3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</row>
    <row r="254" spans="1:35">
      <c r="A254" s="85"/>
      <c r="B254" s="21"/>
      <c r="C254" s="21"/>
      <c r="D254" s="21"/>
      <c r="E254" s="21"/>
      <c r="F254" s="21"/>
      <c r="G254" s="74"/>
      <c r="H254" s="76"/>
      <c r="I254" s="21"/>
      <c r="J254" s="86"/>
      <c r="K254" s="31"/>
      <c r="L254" s="31"/>
      <c r="M254" s="31"/>
      <c r="N254" s="31"/>
      <c r="O254" s="31"/>
      <c r="P254" s="31"/>
      <c r="Q254" s="31"/>
      <c r="R254" s="31"/>
      <c r="S254" s="3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</row>
    <row r="255" spans="1:35">
      <c r="A255" s="85"/>
      <c r="B255" s="21"/>
      <c r="C255" s="21"/>
      <c r="D255" s="21"/>
      <c r="E255" s="21"/>
      <c r="F255" s="21"/>
      <c r="G255" s="74"/>
      <c r="H255" s="76"/>
      <c r="I255" s="21"/>
      <c r="J255" s="86"/>
      <c r="K255" s="31"/>
      <c r="L255" s="31"/>
      <c r="M255" s="31"/>
      <c r="N255" s="31"/>
      <c r="O255" s="31"/>
      <c r="P255" s="31"/>
      <c r="Q255" s="31"/>
      <c r="R255" s="31"/>
      <c r="S255" s="3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</row>
    <row r="256" spans="1:35">
      <c r="A256" s="85"/>
      <c r="B256" s="21"/>
      <c r="C256" s="21"/>
      <c r="D256" s="21"/>
      <c r="E256" s="21"/>
      <c r="F256" s="21"/>
      <c r="G256" s="74"/>
      <c r="H256" s="76"/>
      <c r="I256" s="21"/>
      <c r="J256" s="86"/>
      <c r="K256" s="31"/>
      <c r="L256" s="31"/>
      <c r="M256" s="31"/>
      <c r="N256" s="31"/>
      <c r="O256" s="31"/>
      <c r="P256" s="31"/>
      <c r="Q256" s="31"/>
      <c r="R256" s="31"/>
      <c r="S256" s="3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</row>
    <row r="257" spans="1:35">
      <c r="A257" s="85"/>
      <c r="B257" s="21"/>
      <c r="C257" s="21"/>
      <c r="D257" s="21"/>
      <c r="E257" s="21"/>
      <c r="F257" s="21"/>
      <c r="G257" s="74"/>
      <c r="H257" s="76"/>
      <c r="I257" s="21"/>
      <c r="J257" s="86"/>
      <c r="K257" s="31"/>
      <c r="L257" s="31"/>
      <c r="M257" s="31"/>
      <c r="N257" s="31"/>
      <c r="O257" s="31"/>
      <c r="P257" s="31"/>
      <c r="Q257" s="31"/>
      <c r="R257" s="31"/>
      <c r="S257" s="3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</row>
    <row r="258" spans="1:35">
      <c r="A258" s="85"/>
      <c r="B258" s="21"/>
      <c r="C258" s="21"/>
      <c r="D258" s="21"/>
      <c r="E258" s="21"/>
      <c r="F258" s="21"/>
      <c r="G258" s="74"/>
      <c r="H258" s="76"/>
      <c r="I258" s="21"/>
      <c r="J258" s="86"/>
      <c r="K258" s="31"/>
      <c r="L258" s="31"/>
      <c r="M258" s="31"/>
      <c r="N258" s="31"/>
      <c r="O258" s="31"/>
      <c r="P258" s="31"/>
      <c r="Q258" s="31"/>
      <c r="R258" s="31"/>
      <c r="S258" s="3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</row>
    <row r="259" spans="1:35">
      <c r="A259" s="85"/>
      <c r="B259" s="21"/>
      <c r="C259" s="21"/>
      <c r="D259" s="21"/>
      <c r="E259" s="21"/>
      <c r="F259" s="21"/>
      <c r="G259" s="74"/>
      <c r="H259" s="76"/>
      <c r="I259" s="21"/>
      <c r="J259" s="86"/>
      <c r="K259" s="31"/>
      <c r="L259" s="31"/>
      <c r="M259" s="31"/>
      <c r="N259" s="31"/>
      <c r="O259" s="31"/>
      <c r="P259" s="31"/>
      <c r="Q259" s="31"/>
      <c r="R259" s="31"/>
      <c r="S259" s="3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</row>
    <row r="260" spans="1:35">
      <c r="A260" s="85"/>
      <c r="B260" s="21"/>
      <c r="C260" s="21"/>
      <c r="D260" s="21"/>
      <c r="E260" s="21"/>
      <c r="F260" s="21"/>
      <c r="G260" s="74"/>
      <c r="H260" s="76"/>
      <c r="I260" s="21"/>
      <c r="J260" s="86"/>
      <c r="K260" s="31"/>
      <c r="L260" s="31"/>
      <c r="M260" s="31"/>
      <c r="N260" s="31"/>
      <c r="O260" s="31"/>
      <c r="P260" s="31"/>
      <c r="Q260" s="31"/>
      <c r="R260" s="31"/>
      <c r="S260" s="3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</row>
    <row r="261" spans="1:35">
      <c r="A261" s="85"/>
      <c r="B261" s="21"/>
      <c r="C261" s="21"/>
      <c r="D261" s="21"/>
      <c r="E261" s="21"/>
      <c r="F261" s="21"/>
      <c r="G261" s="74"/>
      <c r="H261" s="76"/>
      <c r="I261" s="21"/>
      <c r="J261" s="86"/>
      <c r="K261" s="31"/>
      <c r="L261" s="31"/>
      <c r="M261" s="31"/>
      <c r="N261" s="31"/>
      <c r="O261" s="31"/>
      <c r="P261" s="31"/>
      <c r="Q261" s="31"/>
      <c r="R261" s="31"/>
      <c r="S261" s="3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</row>
    <row r="262" spans="1:35">
      <c r="A262" s="85"/>
      <c r="B262" s="21"/>
      <c r="C262" s="21"/>
      <c r="D262" s="21"/>
      <c r="E262" s="21"/>
      <c r="F262" s="21"/>
      <c r="G262" s="74"/>
      <c r="H262" s="76"/>
      <c r="I262" s="21"/>
      <c r="J262" s="86"/>
      <c r="K262" s="31"/>
      <c r="L262" s="31"/>
      <c r="M262" s="31"/>
      <c r="N262" s="31"/>
      <c r="O262" s="31"/>
      <c r="P262" s="31"/>
      <c r="Q262" s="31"/>
      <c r="R262" s="31"/>
      <c r="S262" s="3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</row>
    <row r="263" spans="1:35">
      <c r="A263" s="85"/>
      <c r="B263" s="21"/>
      <c r="C263" s="21"/>
      <c r="D263" s="21"/>
      <c r="E263" s="21"/>
      <c r="F263" s="21"/>
      <c r="G263" s="74"/>
      <c r="H263" s="76"/>
      <c r="I263" s="21"/>
      <c r="J263" s="86"/>
      <c r="K263" s="31"/>
      <c r="L263" s="31"/>
      <c r="M263" s="31"/>
      <c r="N263" s="31"/>
      <c r="O263" s="31"/>
      <c r="P263" s="31"/>
      <c r="Q263" s="31"/>
      <c r="R263" s="31"/>
      <c r="S263" s="3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</row>
    <row r="264" spans="1:35">
      <c r="A264" s="85"/>
      <c r="B264" s="21"/>
      <c r="C264" s="21"/>
      <c r="D264" s="21"/>
      <c r="E264" s="21"/>
      <c r="F264" s="21"/>
      <c r="G264" s="74"/>
      <c r="H264" s="76"/>
      <c r="I264" s="21"/>
      <c r="J264" s="86"/>
      <c r="K264" s="31"/>
      <c r="L264" s="31"/>
      <c r="M264" s="31"/>
      <c r="N264" s="31"/>
      <c r="O264" s="31"/>
      <c r="P264" s="31"/>
      <c r="Q264" s="31"/>
      <c r="R264" s="31"/>
      <c r="S264" s="3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</row>
    <row r="265" spans="1:35">
      <c r="A265" s="85"/>
      <c r="B265" s="21"/>
      <c r="C265" s="21"/>
      <c r="D265" s="21"/>
      <c r="E265" s="21"/>
      <c r="F265" s="21"/>
      <c r="G265" s="74"/>
      <c r="H265" s="76"/>
      <c r="I265" s="21"/>
      <c r="J265" s="86"/>
      <c r="K265" s="31"/>
      <c r="L265" s="31"/>
      <c r="M265" s="31"/>
      <c r="N265" s="31"/>
      <c r="O265" s="31"/>
      <c r="P265" s="31"/>
      <c r="Q265" s="31"/>
      <c r="R265" s="31"/>
      <c r="S265" s="3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</row>
    <row r="266" spans="1:35">
      <c r="A266" s="85"/>
      <c r="B266" s="21"/>
      <c r="C266" s="21"/>
      <c r="D266" s="21"/>
      <c r="E266" s="21"/>
      <c r="F266" s="21"/>
      <c r="G266" s="74"/>
      <c r="H266" s="76"/>
      <c r="I266" s="21"/>
      <c r="J266" s="86"/>
      <c r="K266" s="31"/>
      <c r="L266" s="31"/>
      <c r="M266" s="31"/>
      <c r="N266" s="31"/>
      <c r="O266" s="31"/>
      <c r="P266" s="31"/>
      <c r="Q266" s="31"/>
      <c r="R266" s="31"/>
      <c r="S266" s="3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</row>
    <row r="267" spans="1:35">
      <c r="A267" s="85"/>
      <c r="B267" s="21"/>
      <c r="C267" s="21"/>
      <c r="D267" s="21"/>
      <c r="E267" s="21"/>
      <c r="F267" s="21"/>
      <c r="G267" s="74"/>
      <c r="H267" s="76"/>
      <c r="I267" s="21"/>
      <c r="J267" s="86"/>
      <c r="K267" s="31"/>
      <c r="L267" s="31"/>
      <c r="M267" s="31"/>
      <c r="N267" s="31"/>
      <c r="O267" s="31"/>
      <c r="P267" s="31"/>
      <c r="Q267" s="31"/>
      <c r="R267" s="31"/>
      <c r="S267" s="3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</row>
    <row r="268" spans="1:35">
      <c r="A268" s="85"/>
      <c r="B268" s="21"/>
      <c r="C268" s="21"/>
      <c r="D268" s="21"/>
      <c r="E268" s="21"/>
      <c r="F268" s="21"/>
      <c r="G268" s="74"/>
      <c r="H268" s="76"/>
      <c r="I268" s="21"/>
      <c r="J268" s="86"/>
      <c r="K268" s="31"/>
      <c r="L268" s="31"/>
      <c r="M268" s="31"/>
      <c r="N268" s="31"/>
      <c r="O268" s="31"/>
      <c r="P268" s="31"/>
      <c r="Q268" s="31"/>
      <c r="R268" s="31"/>
      <c r="S268" s="3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</row>
    <row r="269" spans="1:35">
      <c r="A269" s="85"/>
      <c r="B269" s="21"/>
      <c r="C269" s="21"/>
      <c r="D269" s="21"/>
      <c r="E269" s="21"/>
      <c r="F269" s="21"/>
      <c r="G269" s="74"/>
      <c r="H269" s="76"/>
      <c r="I269" s="21"/>
      <c r="J269" s="86"/>
      <c r="K269" s="31"/>
      <c r="L269" s="31"/>
      <c r="M269" s="31"/>
      <c r="N269" s="31"/>
      <c r="O269" s="31"/>
      <c r="P269" s="31"/>
      <c r="Q269" s="31"/>
      <c r="R269" s="31"/>
      <c r="S269" s="3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</row>
    <row r="270" spans="1:35">
      <c r="A270" s="85"/>
      <c r="B270" s="21"/>
      <c r="C270" s="21"/>
      <c r="D270" s="21"/>
      <c r="E270" s="21"/>
      <c r="F270" s="21"/>
      <c r="G270" s="74"/>
      <c r="H270" s="76"/>
      <c r="I270" s="21"/>
      <c r="J270" s="86"/>
      <c r="K270" s="31"/>
      <c r="L270" s="31"/>
      <c r="M270" s="31"/>
      <c r="N270" s="31"/>
      <c r="O270" s="31"/>
      <c r="P270" s="31"/>
      <c r="Q270" s="31"/>
      <c r="R270" s="31"/>
      <c r="S270" s="3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</row>
    <row r="271" spans="1:35">
      <c r="A271" s="85"/>
      <c r="B271" s="21"/>
      <c r="C271" s="21"/>
      <c r="D271" s="21"/>
      <c r="E271" s="21"/>
      <c r="F271" s="21"/>
      <c r="G271" s="74"/>
      <c r="H271" s="76"/>
      <c r="I271" s="21"/>
      <c r="J271" s="86"/>
      <c r="K271" s="31"/>
      <c r="L271" s="31"/>
      <c r="M271" s="31"/>
      <c r="N271" s="31"/>
      <c r="O271" s="31"/>
      <c r="P271" s="31"/>
      <c r="Q271" s="31"/>
      <c r="R271" s="31"/>
      <c r="S271" s="3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</row>
    <row r="272" spans="1:35">
      <c r="A272" s="85"/>
      <c r="B272" s="21"/>
      <c r="C272" s="21"/>
      <c r="D272" s="21"/>
      <c r="E272" s="21"/>
      <c r="F272" s="21"/>
      <c r="G272" s="74"/>
      <c r="H272" s="76"/>
      <c r="I272" s="21"/>
      <c r="J272" s="86"/>
      <c r="K272" s="31"/>
      <c r="L272" s="31"/>
      <c r="M272" s="31"/>
      <c r="N272" s="31"/>
      <c r="O272" s="31"/>
      <c r="P272" s="31"/>
      <c r="Q272" s="31"/>
      <c r="R272" s="31"/>
      <c r="S272" s="3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</row>
    <row r="273" spans="1:35">
      <c r="A273" s="85"/>
      <c r="B273" s="21"/>
      <c r="C273" s="21"/>
      <c r="D273" s="21"/>
      <c r="E273" s="21"/>
      <c r="F273" s="21"/>
      <c r="G273" s="74"/>
      <c r="H273" s="76"/>
      <c r="I273" s="21"/>
      <c r="J273" s="86"/>
      <c r="K273" s="31"/>
      <c r="L273" s="31"/>
      <c r="M273" s="31"/>
      <c r="N273" s="31"/>
      <c r="O273" s="31"/>
      <c r="P273" s="31"/>
      <c r="Q273" s="31"/>
      <c r="R273" s="31"/>
      <c r="S273" s="3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</row>
    <row r="274" spans="1:35">
      <c r="A274" s="85"/>
      <c r="B274" s="21"/>
      <c r="C274" s="21"/>
      <c r="D274" s="21"/>
      <c r="E274" s="21"/>
      <c r="F274" s="21"/>
      <c r="G274" s="74"/>
      <c r="H274" s="76"/>
      <c r="I274" s="21"/>
      <c r="J274" s="86"/>
      <c r="K274" s="31"/>
      <c r="L274" s="31"/>
      <c r="M274" s="31"/>
      <c r="N274" s="31"/>
      <c r="O274" s="31"/>
      <c r="P274" s="31"/>
      <c r="Q274" s="31"/>
      <c r="R274" s="31"/>
      <c r="S274" s="3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</row>
    <row r="275" spans="1:35">
      <c r="A275" s="85"/>
      <c r="B275" s="21"/>
      <c r="C275" s="21"/>
      <c r="D275" s="21"/>
      <c r="E275" s="21"/>
      <c r="F275" s="21"/>
      <c r="G275" s="74"/>
      <c r="H275" s="76"/>
      <c r="I275" s="21"/>
      <c r="J275" s="86"/>
      <c r="K275" s="31"/>
      <c r="L275" s="31"/>
      <c r="M275" s="31"/>
      <c r="N275" s="31"/>
      <c r="O275" s="31"/>
      <c r="P275" s="31"/>
      <c r="Q275" s="31"/>
      <c r="R275" s="31"/>
      <c r="S275" s="3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</row>
    <row r="276" spans="1:35">
      <c r="A276" s="85"/>
      <c r="B276" s="21"/>
      <c r="C276" s="21"/>
      <c r="D276" s="21"/>
      <c r="E276" s="21"/>
      <c r="F276" s="21"/>
      <c r="G276" s="74"/>
      <c r="H276" s="76"/>
      <c r="I276" s="21"/>
      <c r="J276" s="86"/>
      <c r="K276" s="31"/>
      <c r="L276" s="31"/>
      <c r="M276" s="31"/>
      <c r="N276" s="31"/>
      <c r="O276" s="31"/>
      <c r="P276" s="31"/>
      <c r="Q276" s="31"/>
      <c r="R276" s="31"/>
      <c r="S276" s="3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</row>
    <row r="277" spans="1:35">
      <c r="A277" s="85"/>
      <c r="B277" s="21"/>
      <c r="C277" s="21"/>
      <c r="D277" s="21"/>
      <c r="E277" s="21"/>
      <c r="F277" s="21"/>
      <c r="G277" s="74"/>
      <c r="H277" s="76"/>
      <c r="I277" s="21"/>
      <c r="J277" s="86"/>
      <c r="K277" s="31"/>
      <c r="L277" s="31"/>
      <c r="M277" s="31"/>
      <c r="N277" s="31"/>
      <c r="O277" s="31"/>
      <c r="P277" s="31"/>
      <c r="Q277" s="31"/>
      <c r="R277" s="31"/>
      <c r="S277" s="3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</row>
    <row r="278" spans="1:35">
      <c r="A278" s="85"/>
      <c r="B278" s="21"/>
      <c r="C278" s="21"/>
      <c r="D278" s="21"/>
      <c r="E278" s="21"/>
      <c r="F278" s="21"/>
      <c r="G278" s="74"/>
      <c r="H278" s="76"/>
      <c r="I278" s="21"/>
      <c r="J278" s="86"/>
      <c r="K278" s="31"/>
      <c r="L278" s="31"/>
      <c r="M278" s="31"/>
      <c r="N278" s="31"/>
      <c r="O278" s="31"/>
      <c r="P278" s="31"/>
      <c r="Q278" s="31"/>
      <c r="R278" s="31"/>
      <c r="S278" s="3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</row>
    <row r="279" spans="1:35">
      <c r="A279" s="85"/>
      <c r="B279" s="21"/>
      <c r="C279" s="21"/>
      <c r="D279" s="21"/>
      <c r="E279" s="21"/>
      <c r="F279" s="21"/>
      <c r="G279" s="74"/>
      <c r="H279" s="76"/>
      <c r="I279" s="21"/>
      <c r="J279" s="86"/>
      <c r="K279" s="31"/>
      <c r="L279" s="31"/>
      <c r="M279" s="31"/>
      <c r="N279" s="31"/>
      <c r="O279" s="31"/>
      <c r="P279" s="31"/>
      <c r="Q279" s="31"/>
      <c r="R279" s="31"/>
      <c r="S279" s="3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</row>
    <row r="280" spans="1:35">
      <c r="A280" s="85"/>
      <c r="B280" s="21"/>
      <c r="C280" s="21"/>
      <c r="D280" s="21"/>
      <c r="E280" s="21"/>
      <c r="F280" s="21"/>
      <c r="G280" s="74"/>
      <c r="H280" s="76"/>
      <c r="I280" s="21"/>
      <c r="J280" s="86"/>
      <c r="K280" s="31"/>
      <c r="L280" s="31"/>
      <c r="M280" s="31"/>
      <c r="N280" s="31"/>
      <c r="O280" s="31"/>
      <c r="P280" s="31"/>
      <c r="Q280" s="31"/>
      <c r="R280" s="31"/>
      <c r="S280" s="3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</row>
    <row r="281" spans="1:35">
      <c r="A281" s="85"/>
      <c r="B281" s="21"/>
      <c r="C281" s="21"/>
      <c r="D281" s="21"/>
      <c r="E281" s="21"/>
      <c r="F281" s="21"/>
      <c r="G281" s="74"/>
      <c r="H281" s="76"/>
      <c r="I281" s="21"/>
      <c r="J281" s="86"/>
      <c r="K281" s="31"/>
      <c r="L281" s="31"/>
      <c r="M281" s="31"/>
      <c r="N281" s="31"/>
      <c r="O281" s="31"/>
      <c r="P281" s="31"/>
      <c r="Q281" s="31"/>
      <c r="R281" s="31"/>
      <c r="S281" s="3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</row>
    <row r="282" spans="1:35">
      <c r="A282" s="85"/>
      <c r="B282" s="21"/>
      <c r="C282" s="21"/>
      <c r="D282" s="21"/>
      <c r="E282" s="21"/>
      <c r="F282" s="21"/>
      <c r="G282" s="74"/>
      <c r="H282" s="76"/>
      <c r="I282" s="21"/>
      <c r="J282" s="86"/>
      <c r="K282" s="31"/>
      <c r="L282" s="31"/>
      <c r="M282" s="31"/>
      <c r="N282" s="31"/>
      <c r="O282" s="31"/>
      <c r="P282" s="31"/>
      <c r="Q282" s="31"/>
      <c r="R282" s="31"/>
      <c r="S282" s="3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</row>
    <row r="283" spans="1:35">
      <c r="A283" s="85"/>
      <c r="B283" s="21"/>
      <c r="C283" s="21"/>
      <c r="D283" s="21"/>
      <c r="E283" s="21"/>
      <c r="F283" s="21"/>
      <c r="G283" s="74"/>
      <c r="H283" s="76"/>
      <c r="I283" s="21"/>
      <c r="J283" s="86"/>
      <c r="K283" s="31"/>
      <c r="L283" s="31"/>
      <c r="M283" s="31"/>
      <c r="N283" s="31"/>
      <c r="O283" s="31"/>
      <c r="P283" s="31"/>
      <c r="Q283" s="31"/>
      <c r="R283" s="31"/>
      <c r="S283" s="3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</row>
    <row r="284" spans="1:35">
      <c r="A284" s="85"/>
      <c r="B284" s="21"/>
      <c r="C284" s="21"/>
      <c r="D284" s="21"/>
      <c r="E284" s="21"/>
      <c r="F284" s="21"/>
      <c r="G284" s="74"/>
      <c r="H284" s="76"/>
      <c r="I284" s="21"/>
      <c r="J284" s="86"/>
      <c r="K284" s="31"/>
      <c r="L284" s="31"/>
      <c r="M284" s="31"/>
      <c r="N284" s="31"/>
      <c r="O284" s="31"/>
      <c r="P284" s="31"/>
      <c r="Q284" s="31"/>
      <c r="R284" s="31"/>
      <c r="S284" s="3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</row>
    <row r="285" spans="1:35">
      <c r="A285" s="85"/>
      <c r="B285" s="21"/>
      <c r="C285" s="21"/>
      <c r="D285" s="21"/>
      <c r="E285" s="21"/>
      <c r="F285" s="21"/>
      <c r="G285" s="74"/>
      <c r="H285" s="76"/>
      <c r="I285" s="21"/>
      <c r="J285" s="86"/>
      <c r="K285" s="31"/>
      <c r="L285" s="31"/>
      <c r="M285" s="31"/>
      <c r="N285" s="31"/>
      <c r="O285" s="31"/>
      <c r="P285" s="31"/>
      <c r="Q285" s="31"/>
      <c r="R285" s="31"/>
      <c r="S285" s="3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</row>
    <row r="286" spans="1:35">
      <c r="A286" s="85"/>
      <c r="B286" s="21"/>
      <c r="C286" s="21"/>
      <c r="D286" s="21"/>
      <c r="E286" s="21"/>
      <c r="F286" s="21"/>
      <c r="G286" s="74"/>
      <c r="H286" s="76"/>
      <c r="I286" s="21"/>
      <c r="J286" s="86"/>
      <c r="K286" s="31"/>
      <c r="L286" s="31"/>
      <c r="M286" s="31"/>
      <c r="N286" s="31"/>
      <c r="O286" s="31"/>
      <c r="P286" s="31"/>
      <c r="Q286" s="31"/>
      <c r="R286" s="31"/>
      <c r="S286" s="3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</row>
    <row r="287" spans="1:35">
      <c r="A287" s="85"/>
      <c r="B287" s="21"/>
      <c r="C287" s="21"/>
      <c r="D287" s="21"/>
      <c r="E287" s="21"/>
      <c r="F287" s="21"/>
      <c r="G287" s="74"/>
      <c r="H287" s="76"/>
      <c r="I287" s="21"/>
      <c r="J287" s="86"/>
      <c r="K287" s="31"/>
      <c r="L287" s="31"/>
      <c r="M287" s="31"/>
      <c r="N287" s="31"/>
      <c r="O287" s="31"/>
      <c r="P287" s="31"/>
      <c r="Q287" s="31"/>
      <c r="R287" s="31"/>
      <c r="S287" s="3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</row>
    <row r="288" spans="1:35">
      <c r="A288" s="85"/>
      <c r="B288" s="21"/>
      <c r="C288" s="21"/>
      <c r="D288" s="21"/>
      <c r="E288" s="21"/>
      <c r="F288" s="21"/>
      <c r="G288" s="74"/>
      <c r="H288" s="76"/>
      <c r="I288" s="21"/>
      <c r="J288" s="86"/>
      <c r="K288" s="31"/>
      <c r="L288" s="31"/>
      <c r="M288" s="31"/>
      <c r="N288" s="31"/>
      <c r="O288" s="31"/>
      <c r="P288" s="31"/>
      <c r="Q288" s="31"/>
      <c r="R288" s="31"/>
      <c r="S288" s="3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</row>
    <row r="289" spans="1:35">
      <c r="A289" s="85"/>
      <c r="B289" s="21"/>
      <c r="C289" s="21"/>
      <c r="D289" s="21"/>
      <c r="E289" s="21"/>
      <c r="F289" s="21"/>
      <c r="G289" s="74"/>
      <c r="H289" s="76"/>
      <c r="I289" s="21"/>
      <c r="J289" s="86"/>
      <c r="K289" s="31"/>
      <c r="L289" s="31"/>
      <c r="M289" s="31"/>
      <c r="N289" s="31"/>
      <c r="O289" s="31"/>
      <c r="P289" s="31"/>
      <c r="Q289" s="31"/>
      <c r="R289" s="31"/>
      <c r="S289" s="3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</row>
    <row r="290" spans="1:35">
      <c r="A290" s="85"/>
      <c r="B290" s="21"/>
      <c r="C290" s="21"/>
      <c r="D290" s="21"/>
      <c r="E290" s="21"/>
      <c r="F290" s="21"/>
      <c r="G290" s="74"/>
      <c r="H290" s="76"/>
      <c r="I290" s="21"/>
      <c r="J290" s="86"/>
      <c r="K290" s="31"/>
      <c r="L290" s="31"/>
      <c r="M290" s="31"/>
      <c r="N290" s="31"/>
      <c r="O290" s="31"/>
      <c r="P290" s="31"/>
      <c r="Q290" s="31"/>
      <c r="R290" s="31"/>
      <c r="S290" s="3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</row>
    <row r="291" spans="1:35">
      <c r="A291" s="85"/>
      <c r="B291" s="21"/>
      <c r="C291" s="21"/>
      <c r="D291" s="21"/>
      <c r="E291" s="21"/>
      <c r="F291" s="21"/>
      <c r="G291" s="74"/>
      <c r="H291" s="76"/>
      <c r="I291" s="21"/>
      <c r="J291" s="86"/>
      <c r="K291" s="31"/>
      <c r="L291" s="31"/>
      <c r="M291" s="31"/>
      <c r="N291" s="31"/>
      <c r="O291" s="31"/>
      <c r="P291" s="31"/>
      <c r="Q291" s="31"/>
      <c r="R291" s="31"/>
      <c r="S291" s="3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</row>
    <row r="292" spans="1:35">
      <c r="A292" s="85"/>
      <c r="B292" s="21"/>
      <c r="C292" s="21"/>
      <c r="D292" s="21"/>
      <c r="E292" s="21"/>
      <c r="F292" s="21"/>
      <c r="G292" s="74"/>
      <c r="H292" s="76"/>
      <c r="I292" s="21"/>
      <c r="J292" s="86"/>
      <c r="K292" s="31"/>
      <c r="L292" s="31"/>
      <c r="M292" s="31"/>
      <c r="N292" s="31"/>
      <c r="O292" s="31"/>
      <c r="P292" s="31"/>
      <c r="Q292" s="31"/>
      <c r="R292" s="31"/>
      <c r="S292" s="3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</row>
    <row r="293" spans="1:35">
      <c r="A293" s="85"/>
      <c r="B293" s="21"/>
      <c r="C293" s="21"/>
      <c r="D293" s="21"/>
      <c r="E293" s="21"/>
      <c r="F293" s="21"/>
      <c r="G293" s="74"/>
      <c r="H293" s="76"/>
      <c r="I293" s="21"/>
      <c r="J293" s="86"/>
      <c r="K293" s="31"/>
      <c r="L293" s="31"/>
      <c r="M293" s="31"/>
      <c r="N293" s="31"/>
      <c r="O293" s="31"/>
      <c r="P293" s="31"/>
      <c r="Q293" s="31"/>
      <c r="R293" s="31"/>
      <c r="S293" s="3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</row>
    <row r="294" spans="1:35">
      <c r="A294" s="85"/>
      <c r="B294" s="21"/>
      <c r="C294" s="21"/>
      <c r="D294" s="21"/>
      <c r="E294" s="21"/>
      <c r="F294" s="21"/>
      <c r="G294" s="74"/>
      <c r="H294" s="76"/>
      <c r="I294" s="21"/>
      <c r="J294" s="86"/>
      <c r="K294" s="31"/>
      <c r="L294" s="31"/>
      <c r="M294" s="31"/>
      <c r="N294" s="31"/>
      <c r="O294" s="31"/>
      <c r="P294" s="31"/>
      <c r="Q294" s="31"/>
      <c r="R294" s="31"/>
      <c r="S294" s="3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</row>
    <row r="295" spans="1:35">
      <c r="A295" s="85"/>
      <c r="B295" s="21"/>
      <c r="C295" s="21"/>
      <c r="D295" s="21"/>
      <c r="E295" s="21"/>
      <c r="F295" s="21"/>
      <c r="G295" s="74"/>
      <c r="H295" s="76"/>
      <c r="I295" s="21"/>
      <c r="J295" s="86"/>
      <c r="K295" s="31"/>
      <c r="L295" s="31"/>
      <c r="M295" s="31"/>
      <c r="N295" s="31"/>
      <c r="O295" s="31"/>
      <c r="P295" s="31"/>
      <c r="Q295" s="31"/>
      <c r="R295" s="31"/>
      <c r="S295" s="3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</row>
    <row r="296" spans="1:35">
      <c r="A296" s="85"/>
      <c r="B296" s="21"/>
      <c r="C296" s="21"/>
      <c r="D296" s="21"/>
      <c r="E296" s="21"/>
      <c r="F296" s="21"/>
      <c r="G296" s="74"/>
      <c r="H296" s="76"/>
      <c r="I296" s="21"/>
      <c r="J296" s="86"/>
      <c r="K296" s="31"/>
      <c r="L296" s="31"/>
      <c r="M296" s="31"/>
      <c r="N296" s="31"/>
      <c r="O296" s="31"/>
      <c r="P296" s="31"/>
      <c r="Q296" s="31"/>
      <c r="R296" s="31"/>
      <c r="S296" s="3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</row>
    <row r="297" spans="1:35">
      <c r="A297" s="85"/>
      <c r="B297" s="21"/>
      <c r="C297" s="21"/>
      <c r="D297" s="21"/>
      <c r="E297" s="21"/>
      <c r="F297" s="21"/>
      <c r="G297" s="74"/>
      <c r="H297" s="76"/>
      <c r="I297" s="21"/>
      <c r="J297" s="86"/>
      <c r="K297" s="31"/>
      <c r="L297" s="31"/>
      <c r="M297" s="31"/>
      <c r="N297" s="31"/>
      <c r="O297" s="31"/>
      <c r="P297" s="31"/>
      <c r="Q297" s="31"/>
      <c r="R297" s="31"/>
      <c r="S297" s="3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</row>
    <row r="298" spans="1:35">
      <c r="A298" s="85"/>
      <c r="B298" s="21"/>
      <c r="C298" s="21"/>
      <c r="D298" s="21"/>
      <c r="E298" s="21"/>
      <c r="F298" s="21"/>
      <c r="G298" s="74"/>
      <c r="H298" s="76"/>
      <c r="I298" s="21"/>
      <c r="J298" s="86"/>
      <c r="K298" s="31"/>
      <c r="L298" s="31"/>
      <c r="M298" s="31"/>
      <c r="N298" s="31"/>
      <c r="O298" s="31"/>
      <c r="P298" s="31"/>
      <c r="Q298" s="31"/>
      <c r="R298" s="31"/>
      <c r="S298" s="3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</row>
    <row r="299" spans="1:35">
      <c r="A299" s="85"/>
      <c r="B299" s="21"/>
      <c r="C299" s="21"/>
      <c r="D299" s="21"/>
      <c r="E299" s="21"/>
      <c r="F299" s="21"/>
      <c r="G299" s="74"/>
      <c r="H299" s="76"/>
      <c r="I299" s="21"/>
      <c r="J299" s="86"/>
      <c r="K299" s="31"/>
      <c r="L299" s="31"/>
      <c r="M299" s="31"/>
      <c r="N299" s="31"/>
      <c r="O299" s="31"/>
      <c r="P299" s="31"/>
      <c r="Q299" s="31"/>
      <c r="R299" s="31"/>
      <c r="S299" s="3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</row>
    <row r="300" spans="1:35">
      <c r="A300" s="85"/>
      <c r="B300" s="21"/>
      <c r="C300" s="21"/>
      <c r="D300" s="21"/>
      <c r="E300" s="21"/>
      <c r="F300" s="21"/>
      <c r="G300" s="74"/>
      <c r="H300" s="76"/>
      <c r="I300" s="21"/>
      <c r="J300" s="86"/>
      <c r="K300" s="31"/>
      <c r="L300" s="31"/>
      <c r="M300" s="31"/>
      <c r="N300" s="31"/>
      <c r="O300" s="31"/>
      <c r="P300" s="31"/>
      <c r="Q300" s="31"/>
      <c r="R300" s="31"/>
      <c r="S300" s="3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</row>
    <row r="301" spans="1:35">
      <c r="A301" s="85"/>
      <c r="B301" s="21"/>
      <c r="C301" s="21"/>
      <c r="D301" s="21"/>
      <c r="E301" s="21"/>
      <c r="F301" s="21"/>
      <c r="G301" s="74"/>
      <c r="H301" s="76"/>
      <c r="I301" s="21"/>
      <c r="J301" s="86"/>
      <c r="K301" s="31"/>
      <c r="L301" s="31"/>
      <c r="M301" s="31"/>
      <c r="N301" s="31"/>
      <c r="O301" s="31"/>
      <c r="P301" s="31"/>
      <c r="Q301" s="31"/>
      <c r="R301" s="31"/>
      <c r="S301" s="3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</row>
    <row r="302" spans="1:35">
      <c r="A302" s="85"/>
      <c r="B302" s="21"/>
      <c r="C302" s="21"/>
      <c r="D302" s="21"/>
      <c r="E302" s="21"/>
      <c r="F302" s="21"/>
      <c r="G302" s="74"/>
      <c r="H302" s="76"/>
      <c r="I302" s="21"/>
      <c r="J302" s="86"/>
      <c r="K302" s="31"/>
      <c r="L302" s="31"/>
      <c r="M302" s="31"/>
      <c r="N302" s="31"/>
      <c r="O302" s="31"/>
      <c r="P302" s="31"/>
      <c r="Q302" s="31"/>
      <c r="R302" s="31"/>
      <c r="S302" s="3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</row>
    <row r="303" spans="1:35">
      <c r="A303" s="85"/>
      <c r="B303" s="21"/>
      <c r="C303" s="21"/>
      <c r="D303" s="21"/>
      <c r="E303" s="21"/>
      <c r="F303" s="21"/>
      <c r="G303" s="74"/>
      <c r="H303" s="76"/>
      <c r="I303" s="21"/>
      <c r="J303" s="86"/>
      <c r="K303" s="31"/>
      <c r="L303" s="31"/>
      <c r="M303" s="31"/>
      <c r="N303" s="31"/>
      <c r="O303" s="31"/>
      <c r="P303" s="31"/>
      <c r="Q303" s="31"/>
      <c r="R303" s="31"/>
      <c r="S303" s="3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</row>
    <row r="304" spans="1:35">
      <c r="A304" s="85"/>
      <c r="B304" s="21"/>
      <c r="C304" s="21"/>
      <c r="D304" s="21"/>
      <c r="E304" s="21"/>
      <c r="F304" s="21"/>
      <c r="G304" s="74"/>
      <c r="H304" s="76"/>
      <c r="I304" s="21"/>
      <c r="J304" s="86"/>
      <c r="K304" s="31"/>
      <c r="L304" s="31"/>
      <c r="M304" s="31"/>
      <c r="N304" s="31"/>
      <c r="O304" s="31"/>
      <c r="P304" s="31"/>
      <c r="Q304" s="31"/>
      <c r="R304" s="31"/>
      <c r="S304" s="3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</row>
    <row r="305" spans="1:35">
      <c r="A305" s="85"/>
      <c r="B305" s="21"/>
      <c r="C305" s="21"/>
      <c r="D305" s="21"/>
      <c r="E305" s="21"/>
      <c r="F305" s="21"/>
      <c r="G305" s="74"/>
      <c r="H305" s="76"/>
      <c r="I305" s="21"/>
      <c r="J305" s="86"/>
      <c r="K305" s="31"/>
      <c r="L305" s="31"/>
      <c r="M305" s="31"/>
      <c r="N305" s="31"/>
      <c r="O305" s="31"/>
      <c r="P305" s="31"/>
      <c r="Q305" s="31"/>
      <c r="R305" s="31"/>
      <c r="S305" s="3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</row>
  </sheetData>
  <sheetCalcPr fullCalcOnLoad="1"/>
  <phoneticPr fontId="3" type="noConversion"/>
  <pageMargins left="0.75" right="0.75" top="1" bottom="1" header="0.5" footer="0.5"/>
  <pageSetup paperSize="9" scale="85" orientation="portrait" horizontalDpi="4294967294" verticalDpi="0" r:id="rId1"/>
  <headerFooter alignWithMargins="0"/>
  <colBreaks count="1" manualBreakCount="1">
    <brk id="1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2"/>
  <dimension ref="A1:A40"/>
  <sheetViews>
    <sheetView showGridLines="0" workbookViewId="0"/>
  </sheetViews>
  <sheetFormatPr defaultRowHeight="12.75"/>
  <cols>
    <col min="1" max="1" width="15.7109375" bestFit="1" customWidth="1"/>
  </cols>
  <sheetData>
    <row r="1" spans="1:1">
      <c r="A1" t="str">
        <f>'II DZIEN'!J2</f>
        <v>SP4 Pruszków</v>
      </c>
    </row>
    <row r="2" spans="1:1">
      <c r="A2" t="str">
        <f>'II DZIEN'!J3</f>
        <v>SP154 Warszawa</v>
      </c>
    </row>
    <row r="3" spans="1:1">
      <c r="A3" t="str">
        <f>'II DZIEN'!J4</f>
        <v>SP9 Siedlce</v>
      </c>
    </row>
    <row r="4" spans="1:1">
      <c r="A4" t="str">
        <f>'II DZIEN'!J5</f>
        <v>SP204 Warszawa</v>
      </c>
    </row>
    <row r="5" spans="1:1">
      <c r="A5" t="str">
        <f>'II DZIEN'!J6</f>
        <v>SP Zielonki Parcela</v>
      </c>
    </row>
    <row r="6" spans="1:1">
      <c r="A6" t="str">
        <f>'II DZIEN'!J7</f>
        <v>SP8 Siedlce</v>
      </c>
    </row>
    <row r="7" spans="1:1">
      <c r="A7" t="str">
        <f>'II DZIEN'!J8</f>
        <v>SP2 Zielonka</v>
      </c>
    </row>
    <row r="8" spans="1:1">
      <c r="A8" t="str">
        <f>'II DZIEN'!J9</f>
        <v>SP1 Ostrów Maz</v>
      </c>
    </row>
    <row r="9" spans="1:1">
      <c r="A9" t="str">
        <f>'II DZIEN'!J10</f>
        <v>SP18 Płock</v>
      </c>
    </row>
    <row r="10" spans="1:1">
      <c r="A10" t="str">
        <f>'II DZIEN'!J11</f>
        <v>SP2 Mława</v>
      </c>
    </row>
    <row r="11" spans="1:1">
      <c r="A11" t="str">
        <f>'II DZIEN'!J12</f>
        <v>SP2 Szydłowiec</v>
      </c>
    </row>
    <row r="12" spans="1:1">
      <c r="A12" t="str">
        <f>'II DZIEN'!J13</f>
        <v xml:space="preserve">SP Jednorożec </v>
      </c>
    </row>
    <row r="13" spans="1:1">
      <c r="A13" t="str">
        <f>'II DZIEN'!J14</f>
        <v>PSP24 Radom</v>
      </c>
    </row>
    <row r="14" spans="1:1">
      <c r="A14">
        <f>'II DZIEN'!J15</f>
        <v>0</v>
      </c>
    </row>
    <row r="15" spans="1:1">
      <c r="A15">
        <f>'II DZIEN'!J16</f>
        <v>0</v>
      </c>
    </row>
    <row r="16" spans="1:1">
      <c r="A16">
        <f>'II DZIEN'!J17</f>
        <v>0</v>
      </c>
    </row>
    <row r="17" spans="1:1">
      <c r="A17">
        <f>'II DZIEN'!J18</f>
        <v>0</v>
      </c>
    </row>
    <row r="18" spans="1:1">
      <c r="A18">
        <f>'II DZIEN'!J19</f>
        <v>0</v>
      </c>
    </row>
    <row r="19" spans="1:1">
      <c r="A19">
        <f>'II DZIEN'!J20</f>
        <v>0</v>
      </c>
    </row>
    <row r="20" spans="1:1">
      <c r="A20">
        <f>'II DZIEN'!J21</f>
        <v>0</v>
      </c>
    </row>
    <row r="21" spans="1:1">
      <c r="A21">
        <f>'II DZIEN'!J22</f>
        <v>0</v>
      </c>
    </row>
    <row r="22" spans="1:1">
      <c r="A22">
        <f>'II DZIEN'!J23</f>
        <v>0</v>
      </c>
    </row>
    <row r="23" spans="1:1">
      <c r="A23">
        <f>'II DZIEN'!J24</f>
        <v>0</v>
      </c>
    </row>
    <row r="24" spans="1:1">
      <c r="A24">
        <f>'II DZIEN'!J25</f>
        <v>0</v>
      </c>
    </row>
    <row r="25" spans="1:1">
      <c r="A25">
        <f>'II DZIEN'!J26</f>
        <v>0</v>
      </c>
    </row>
    <row r="26" spans="1:1">
      <c r="A26">
        <f>'II DZIEN'!J27</f>
        <v>0</v>
      </c>
    </row>
    <row r="27" spans="1:1">
      <c r="A27">
        <f>'II DZIEN'!J28</f>
        <v>0</v>
      </c>
    </row>
    <row r="28" spans="1:1">
      <c r="A28">
        <f>'II DZIEN'!J29</f>
        <v>0</v>
      </c>
    </row>
    <row r="29" spans="1:1">
      <c r="A29">
        <f>'II DZIEN'!J30</f>
        <v>0</v>
      </c>
    </row>
    <row r="30" spans="1:1">
      <c r="A30">
        <f>'II DZIEN'!J31</f>
        <v>0</v>
      </c>
    </row>
    <row r="31" spans="1:1">
      <c r="A31">
        <f>'II DZIEN'!J32</f>
        <v>0</v>
      </c>
    </row>
    <row r="32" spans="1:1">
      <c r="A32">
        <f>'II DZIEN'!J33</f>
        <v>0</v>
      </c>
    </row>
    <row r="33" spans="1:1">
      <c r="A33">
        <f>'II DZIEN'!J34</f>
        <v>0</v>
      </c>
    </row>
    <row r="34" spans="1:1">
      <c r="A34">
        <f>'II DZIEN'!J35</f>
        <v>0</v>
      </c>
    </row>
    <row r="35" spans="1:1">
      <c r="A35">
        <f>'II DZIEN'!J36</f>
        <v>0</v>
      </c>
    </row>
    <row r="36" spans="1:1">
      <c r="A36">
        <f>'II DZIEN'!J37</f>
        <v>0</v>
      </c>
    </row>
    <row r="37" spans="1:1">
      <c r="A37">
        <f>'II DZIEN'!J38</f>
        <v>0</v>
      </c>
    </row>
    <row r="38" spans="1:1">
      <c r="A38">
        <f>'II DZIEN'!J39</f>
        <v>0</v>
      </c>
    </row>
    <row r="39" spans="1:1">
      <c r="A39">
        <f>'II DZIEN'!J40</f>
        <v>0</v>
      </c>
    </row>
    <row r="40" spans="1:1">
      <c r="A40">
        <f>'II DZIEN'!J41</f>
        <v>0</v>
      </c>
    </row>
  </sheetData>
  <phoneticPr fontId="3" type="noConversion"/>
  <pageMargins left="0.75" right="0.75" top="1" bottom="1" header="0.5" footer="0.5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Arkusz16"/>
  <dimension ref="A1:B42"/>
  <sheetViews>
    <sheetView showGridLines="0" workbookViewId="0"/>
  </sheetViews>
  <sheetFormatPr defaultRowHeight="12.75"/>
  <cols>
    <col min="1" max="1" width="30.5703125" bestFit="1" customWidth="1"/>
    <col min="2" max="2" width="18.7109375" bestFit="1" customWidth="1"/>
  </cols>
  <sheetData>
    <row r="1" spans="1:2" ht="14.25" thickTop="1" thickBot="1">
      <c r="A1" s="123"/>
      <c r="B1" s="122" t="str">
        <f>wyniki!A7</f>
        <v>SP8 Siedlce</v>
      </c>
    </row>
    <row r="2" spans="1:2" ht="14.25" thickTop="1" thickBot="1">
      <c r="A2" s="123"/>
      <c r="B2" s="122" t="str">
        <f>wyniki!A14</f>
        <v>PSP24 Radom</v>
      </c>
    </row>
    <row r="3" spans="1:2" ht="14.25" thickTop="1" thickBot="1">
      <c r="A3" s="123"/>
      <c r="B3" s="122" t="str">
        <f>wyniki!A21</f>
        <v>SP4 Pruszków</v>
      </c>
    </row>
    <row r="4" spans="1:2" ht="14.25" thickTop="1" thickBot="1">
      <c r="A4" s="123"/>
      <c r="B4" s="122" t="str">
        <f>wyniki!A28</f>
        <v>SP2 Szydłowiec</v>
      </c>
    </row>
    <row r="5" spans="1:2" ht="14.25" thickTop="1" thickBot="1">
      <c r="A5" s="123"/>
      <c r="B5" s="122" t="str">
        <f>wyniki!A35</f>
        <v>SP9 Siedlce</v>
      </c>
    </row>
    <row r="6" spans="1:2" ht="14.25" thickTop="1" thickBot="1">
      <c r="A6" s="123"/>
      <c r="B6" s="122" t="str">
        <f>wyniki!A42</f>
        <v>SP1 Ostrów Maz</v>
      </c>
    </row>
    <row r="7" spans="1:2" ht="14.25" thickTop="1" thickBot="1">
      <c r="A7" s="123"/>
      <c r="B7" s="122" t="str">
        <f>wyniki!A49</f>
        <v>SP204 Warszawa</v>
      </c>
    </row>
    <row r="8" spans="1:2" ht="14.25" thickTop="1" thickBot="1">
      <c r="A8" s="123"/>
      <c r="B8" s="122" t="str">
        <f>wyniki!A56</f>
        <v>SP Zielonki Parcela</v>
      </c>
    </row>
    <row r="9" spans="1:2" ht="14.25" thickTop="1" thickBot="1">
      <c r="A9" s="123"/>
      <c r="B9" s="122" t="str">
        <f>wyniki!A63</f>
        <v>SP154 Warszawa</v>
      </c>
    </row>
    <row r="10" spans="1:2" ht="14.25" thickTop="1" thickBot="1">
      <c r="A10" s="123"/>
      <c r="B10" s="122" t="str">
        <f>wyniki!A70</f>
        <v xml:space="preserve">SP Jednorożec </v>
      </c>
    </row>
    <row r="11" spans="1:2" ht="14.25" thickTop="1" thickBot="1">
      <c r="A11" s="123"/>
      <c r="B11" s="122" t="str">
        <f>wyniki!A77</f>
        <v>SP2 Zielonka</v>
      </c>
    </row>
    <row r="12" spans="1:2" ht="14.25" thickTop="1" thickBot="1">
      <c r="A12" s="123"/>
      <c r="B12" s="122" t="str">
        <f>wyniki!A84</f>
        <v>SP2 Mława</v>
      </c>
    </row>
    <row r="13" spans="1:2" ht="14.25" thickTop="1" thickBot="1">
      <c r="A13" s="123"/>
      <c r="B13" s="122" t="str">
        <f>wyniki!A91</f>
        <v>SP18 Płock</v>
      </c>
    </row>
    <row r="14" spans="1:2" ht="14.25" thickTop="1" thickBot="1">
      <c r="A14" s="123"/>
      <c r="B14" s="122">
        <f>wyniki!A98</f>
        <v>0</v>
      </c>
    </row>
    <row r="15" spans="1:2" ht="14.25" thickTop="1" thickBot="1">
      <c r="A15" s="123"/>
      <c r="B15" s="122">
        <f>wyniki!A105</f>
        <v>0</v>
      </c>
    </row>
    <row r="16" spans="1:2" ht="14.25" thickTop="1" thickBot="1">
      <c r="A16" s="123"/>
      <c r="B16" s="122">
        <f>wyniki!A112</f>
        <v>0</v>
      </c>
    </row>
    <row r="17" spans="1:2" ht="14.25" thickTop="1" thickBot="1">
      <c r="A17" s="123"/>
      <c r="B17" s="122">
        <f>wyniki!A119</f>
        <v>0</v>
      </c>
    </row>
    <row r="18" spans="1:2" ht="14.25" thickTop="1" thickBot="1">
      <c r="A18" s="123"/>
      <c r="B18" s="122">
        <f>wyniki!A126</f>
        <v>0</v>
      </c>
    </row>
    <row r="19" spans="1:2" ht="14.25" thickTop="1" thickBot="1">
      <c r="A19" s="123"/>
      <c r="B19" s="122">
        <f>wyniki!A133</f>
        <v>0</v>
      </c>
    </row>
    <row r="20" spans="1:2" ht="14.25" thickTop="1" thickBot="1">
      <c r="A20" s="123"/>
      <c r="B20" s="122">
        <f>wyniki!A140</f>
        <v>0</v>
      </c>
    </row>
    <row r="21" spans="1:2" ht="14.25" thickTop="1" thickBot="1">
      <c r="A21" s="123"/>
      <c r="B21" s="122">
        <f>wyniki!A147</f>
        <v>0</v>
      </c>
    </row>
    <row r="22" spans="1:2" ht="14.25" thickTop="1" thickBot="1">
      <c r="A22" s="123"/>
      <c r="B22" s="122">
        <f>wyniki!A154</f>
        <v>0</v>
      </c>
    </row>
    <row r="23" spans="1:2" ht="14.25" thickTop="1" thickBot="1">
      <c r="A23" s="123"/>
      <c r="B23" s="122">
        <f>wyniki!A161</f>
        <v>0</v>
      </c>
    </row>
    <row r="24" spans="1:2" ht="14.25" thickTop="1" thickBot="1">
      <c r="A24" s="123"/>
      <c r="B24" s="122">
        <f>wyniki!A168</f>
        <v>0</v>
      </c>
    </row>
    <row r="25" spans="1:2" ht="14.25" thickTop="1" thickBot="1">
      <c r="A25" s="123"/>
      <c r="B25" s="122">
        <f>wyniki!A175</f>
        <v>0</v>
      </c>
    </row>
    <row r="26" spans="1:2" ht="14.25" thickTop="1" thickBot="1">
      <c r="A26" s="123"/>
      <c r="B26" s="122">
        <f>wyniki!A182</f>
        <v>0</v>
      </c>
    </row>
    <row r="27" spans="1:2" ht="14.25" thickTop="1" thickBot="1">
      <c r="A27" s="123"/>
      <c r="B27" s="122">
        <f>wyniki!A189</f>
        <v>0</v>
      </c>
    </row>
    <row r="28" spans="1:2" ht="14.25" thickTop="1" thickBot="1">
      <c r="A28" s="123"/>
      <c r="B28" s="122">
        <f>wyniki!A196</f>
        <v>0</v>
      </c>
    </row>
    <row r="29" spans="1:2" ht="14.25" thickTop="1" thickBot="1">
      <c r="A29" s="123"/>
      <c r="B29" s="122">
        <f>wyniki!A203</f>
        <v>0</v>
      </c>
    </row>
    <row r="30" spans="1:2" ht="14.25" thickTop="1" thickBot="1">
      <c r="A30" s="123"/>
      <c r="B30" s="122">
        <f>wyniki!A210</f>
        <v>0</v>
      </c>
    </row>
    <row r="31" spans="1:2" ht="14.25" thickTop="1" thickBot="1">
      <c r="A31" s="123"/>
      <c r="B31" s="122">
        <f>wyniki!A217</f>
        <v>0</v>
      </c>
    </row>
    <row r="32" spans="1:2" ht="14.25" thickTop="1" thickBot="1">
      <c r="A32" s="123"/>
      <c r="B32" s="122">
        <f>wyniki!A224</f>
        <v>0</v>
      </c>
    </row>
    <row r="33" spans="1:2" ht="14.25" thickTop="1" thickBot="1">
      <c r="A33" s="123"/>
      <c r="B33" s="122">
        <f>wyniki!A231</f>
        <v>0</v>
      </c>
    </row>
    <row r="34" spans="1:2" ht="14.25" thickTop="1" thickBot="1">
      <c r="A34" s="123"/>
      <c r="B34" s="122">
        <f>wyniki!A238</f>
        <v>0</v>
      </c>
    </row>
    <row r="35" spans="1:2" ht="14.25" thickTop="1" thickBot="1">
      <c r="A35" s="123"/>
      <c r="B35" s="122">
        <f>wyniki!A245</f>
        <v>0</v>
      </c>
    </row>
    <row r="36" spans="1:2" ht="14.25" thickTop="1" thickBot="1">
      <c r="A36" s="123"/>
      <c r="B36" s="122">
        <f>wyniki!A252</f>
        <v>0</v>
      </c>
    </row>
    <row r="37" spans="1:2" ht="14.25" thickTop="1" thickBot="1">
      <c r="A37" s="123"/>
      <c r="B37" s="122">
        <f>wyniki!A259</f>
        <v>0</v>
      </c>
    </row>
    <row r="38" spans="1:2" ht="14.25" thickTop="1" thickBot="1">
      <c r="A38" s="123"/>
      <c r="B38" s="122">
        <f>wyniki!A266</f>
        <v>0</v>
      </c>
    </row>
    <row r="39" spans="1:2" ht="14.25" thickTop="1" thickBot="1">
      <c r="A39" s="123"/>
      <c r="B39" s="122">
        <f>wyniki!A273</f>
        <v>0</v>
      </c>
    </row>
    <row r="40" spans="1:2" ht="14.25" thickTop="1" thickBot="1">
      <c r="A40" s="123"/>
      <c r="B40" s="122">
        <f>wyniki!A280</f>
        <v>0</v>
      </c>
    </row>
    <row r="41" spans="1:2" ht="14.25" thickTop="1" thickBot="1">
      <c r="A41" s="124" t="s">
        <v>38</v>
      </c>
      <c r="B41" s="122"/>
    </row>
    <row r="42" spans="1:2" ht="13.5" thickTop="1"/>
  </sheetData>
  <sheetProtection sheet="1" objects="1" scenarios="1"/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Arkusz15"/>
  <dimension ref="D2:G34"/>
  <sheetViews>
    <sheetView showGridLines="0" workbookViewId="0">
      <selection activeCell="F12" sqref="F8:F12"/>
    </sheetView>
  </sheetViews>
  <sheetFormatPr defaultRowHeight="12.75"/>
  <cols>
    <col min="6" max="6" width="22.42578125" customWidth="1"/>
    <col min="7" max="7" width="26.140625" customWidth="1"/>
  </cols>
  <sheetData>
    <row r="2" spans="4:7" ht="38.25" customHeight="1">
      <c r="D2" s="145" t="s">
        <v>34</v>
      </c>
      <c r="E2" s="145"/>
      <c r="F2" s="145"/>
      <c r="G2" s="145"/>
    </row>
    <row r="4" spans="4:7" ht="13.5" thickBot="1"/>
    <row r="5" spans="4:7" ht="13.5" thickBot="1">
      <c r="D5" s="82" t="s">
        <v>15</v>
      </c>
      <c r="E5" s="82" t="s">
        <v>21</v>
      </c>
      <c r="F5" s="82" t="s">
        <v>14</v>
      </c>
      <c r="G5" s="82" t="s">
        <v>39</v>
      </c>
    </row>
    <row r="6" spans="4:7" ht="13.5" thickBot="1">
      <c r="D6" s="82">
        <v>1</v>
      </c>
      <c r="E6" s="83">
        <f>'II DZIEN'!H2</f>
        <v>1127.0000299999999</v>
      </c>
      <c r="F6" s="49" t="str">
        <f>'II DZIEN'!J2</f>
        <v>SP4 Pruszków</v>
      </c>
      <c r="G6" s="49">
        <f>'II DZIEN'!U2</f>
        <v>0</v>
      </c>
    </row>
    <row r="7" spans="4:7" ht="13.5" thickBot="1">
      <c r="D7" s="82">
        <v>2</v>
      </c>
      <c r="E7" s="83">
        <f>'II DZIEN'!H3</f>
        <v>1121.00009</v>
      </c>
      <c r="F7" s="49" t="str">
        <f>'II DZIEN'!J3</f>
        <v>SP154 Warszawa</v>
      </c>
      <c r="G7" s="49">
        <f>'II DZIEN'!U3</f>
        <v>0</v>
      </c>
    </row>
    <row r="8" spans="4:7" ht="13.5" thickBot="1">
      <c r="D8" s="82">
        <v>3</v>
      </c>
      <c r="E8" s="83">
        <f>'II DZIEN'!H4</f>
        <v>1082.0000500000001</v>
      </c>
      <c r="F8" s="49" t="str">
        <f>'II DZIEN'!J4</f>
        <v>SP9 Siedlce</v>
      </c>
      <c r="G8" s="49">
        <f>'II DZIEN'!U4</f>
        <v>0</v>
      </c>
    </row>
    <row r="9" spans="4:7" ht="13.5" thickBot="1">
      <c r="D9" s="82">
        <v>4</v>
      </c>
      <c r="E9" s="83">
        <f>'II DZIEN'!H5</f>
        <v>1079.0000700000001</v>
      </c>
      <c r="F9" s="49" t="str">
        <f>'II DZIEN'!J5</f>
        <v>SP204 Warszawa</v>
      </c>
      <c r="G9" s="49">
        <f>'II DZIEN'!U5</f>
        <v>0</v>
      </c>
    </row>
    <row r="10" spans="4:7" ht="13.5" thickBot="1">
      <c r="D10" s="82">
        <v>5</v>
      </c>
      <c r="E10" s="83">
        <f>'II DZIEN'!H6</f>
        <v>1054.00008</v>
      </c>
      <c r="F10" s="49" t="str">
        <f>'II DZIEN'!J6</f>
        <v>SP Zielonki Parcela</v>
      </c>
      <c r="G10" s="49">
        <f>'II DZIEN'!U6</f>
        <v>0</v>
      </c>
    </row>
    <row r="11" spans="4:7" ht="13.5" thickBot="1">
      <c r="D11" s="82">
        <v>6</v>
      </c>
      <c r="E11" s="83">
        <f>'II DZIEN'!H7</f>
        <v>1016.00001</v>
      </c>
      <c r="F11" s="49" t="str">
        <f>'II DZIEN'!J7</f>
        <v>SP8 Siedlce</v>
      </c>
      <c r="G11" s="49">
        <f>'II DZIEN'!U7</f>
        <v>0</v>
      </c>
    </row>
    <row r="12" spans="4:7" ht="13.5" thickBot="1">
      <c r="D12" s="82">
        <v>7</v>
      </c>
      <c r="E12" s="83">
        <f>'II DZIEN'!H8</f>
        <v>1009.0001099999999</v>
      </c>
      <c r="F12" s="49" t="str">
        <f>'II DZIEN'!J8</f>
        <v>SP2 Zielonka</v>
      </c>
      <c r="G12" s="49">
        <f>'II DZIEN'!U8</f>
        <v>0</v>
      </c>
    </row>
    <row r="13" spans="4:7" ht="13.5" thickBot="1">
      <c r="D13" s="82">
        <v>8</v>
      </c>
      <c r="E13" s="83">
        <f>'II DZIEN'!H9</f>
        <v>963.00005999999996</v>
      </c>
      <c r="F13" s="49" t="str">
        <f>'II DZIEN'!J9</f>
        <v>SP1 Ostrów Maz</v>
      </c>
      <c r="G13" s="49">
        <f>'II DZIEN'!U9</f>
        <v>0</v>
      </c>
    </row>
    <row r="14" spans="4:7" ht="13.5" thickBot="1">
      <c r="D14" s="82">
        <v>9</v>
      </c>
      <c r="E14" s="83">
        <f>'II DZIEN'!H10</f>
        <v>899.00013000000001</v>
      </c>
      <c r="F14" s="49" t="str">
        <f>'II DZIEN'!J10</f>
        <v>SP18 Płock</v>
      </c>
      <c r="G14" s="49">
        <f>'II DZIEN'!U10</f>
        <v>0</v>
      </c>
    </row>
    <row r="15" spans="4:7" ht="13.5" thickBot="1">
      <c r="D15" s="82">
        <v>10</v>
      </c>
      <c r="E15" s="83">
        <f>'II DZIEN'!H11</f>
        <v>879.00012000000004</v>
      </c>
      <c r="F15" s="49" t="str">
        <f>'II DZIEN'!J11</f>
        <v>SP2 Mława</v>
      </c>
      <c r="G15" s="49">
        <f>'II DZIEN'!U11</f>
        <v>0</v>
      </c>
    </row>
    <row r="16" spans="4:7" ht="13.5" thickBot="1">
      <c r="D16" s="82">
        <v>11</v>
      </c>
      <c r="E16" s="83">
        <f>'II DZIEN'!H12</f>
        <v>847.00004000000001</v>
      </c>
      <c r="F16" s="49" t="str">
        <f>'II DZIEN'!J12</f>
        <v>SP2 Szydłowiec</v>
      </c>
      <c r="G16" s="49">
        <f>'II DZIEN'!U12</f>
        <v>0</v>
      </c>
    </row>
    <row r="17" spans="4:7" ht="13.5" thickBot="1">
      <c r="D17" s="82">
        <v>12</v>
      </c>
      <c r="E17" s="83">
        <f>'II DZIEN'!H13</f>
        <v>828.00009999999997</v>
      </c>
      <c r="F17" s="49" t="str">
        <f>'II DZIEN'!J13</f>
        <v xml:space="preserve">SP Jednorożec </v>
      </c>
      <c r="G17" s="49">
        <f>'II DZIEN'!U13</f>
        <v>0</v>
      </c>
    </row>
    <row r="18" spans="4:7" ht="13.5" thickBot="1">
      <c r="D18" s="82">
        <v>13</v>
      </c>
      <c r="E18" s="83">
        <f>'II DZIEN'!H14</f>
        <v>812.00001999999995</v>
      </c>
      <c r="F18" s="49" t="str">
        <f>'II DZIEN'!J14</f>
        <v>PSP24 Radom</v>
      </c>
      <c r="G18" s="49">
        <f>'II DZIEN'!U14</f>
        <v>0</v>
      </c>
    </row>
    <row r="19" spans="4:7" ht="13.5" thickBot="1">
      <c r="D19" s="82">
        <v>14</v>
      </c>
      <c r="E19" s="83">
        <f>'II DZIEN'!H15</f>
        <v>4.0000000000000002E-4</v>
      </c>
      <c r="F19" s="49">
        <f>'II DZIEN'!J15</f>
        <v>0</v>
      </c>
      <c r="G19" s="49">
        <f>'II DZIEN'!U15</f>
        <v>0</v>
      </c>
    </row>
    <row r="20" spans="4:7" ht="13.5" thickBot="1">
      <c r="D20" s="82">
        <v>15</v>
      </c>
      <c r="E20" s="83">
        <f>'II DZIEN'!H16</f>
        <v>3.8999999999999999E-4</v>
      </c>
      <c r="F20" s="49">
        <f>'II DZIEN'!J16</f>
        <v>0</v>
      </c>
      <c r="G20" s="49">
        <f>'II DZIEN'!U16</f>
        <v>0</v>
      </c>
    </row>
    <row r="21" spans="4:7" ht="13.5" thickBot="1">
      <c r="D21" s="82">
        <v>16</v>
      </c>
      <c r="E21" s="83">
        <f>'II DZIEN'!H17</f>
        <v>3.8000000000000002E-4</v>
      </c>
      <c r="F21" s="49">
        <f>'II DZIEN'!J17</f>
        <v>0</v>
      </c>
      <c r="G21" s="49">
        <f>'II DZIEN'!U17</f>
        <v>0</v>
      </c>
    </row>
    <row r="22" spans="4:7" ht="13.5" thickBot="1">
      <c r="D22" s="82">
        <v>17</v>
      </c>
      <c r="E22" s="83">
        <f>'II DZIEN'!H18</f>
        <v>3.6999999999999999E-4</v>
      </c>
      <c r="F22" s="49">
        <f>'II DZIEN'!J18</f>
        <v>0</v>
      </c>
      <c r="G22" s="49">
        <f>'II DZIEN'!U18</f>
        <v>0</v>
      </c>
    </row>
    <row r="23" spans="4:7" ht="13.5" thickBot="1">
      <c r="D23" s="82">
        <v>18</v>
      </c>
      <c r="E23" s="83">
        <f>'II DZIEN'!H19</f>
        <v>3.6000000000000002E-4</v>
      </c>
      <c r="F23" s="49">
        <f>'II DZIEN'!J19</f>
        <v>0</v>
      </c>
      <c r="G23" s="49">
        <f>'II DZIEN'!U19</f>
        <v>0</v>
      </c>
    </row>
    <row r="24" spans="4:7" ht="13.5" thickBot="1">
      <c r="D24" s="82">
        <v>19</v>
      </c>
      <c r="E24" s="83">
        <f>'II DZIEN'!H20</f>
        <v>3.5E-4</v>
      </c>
      <c r="F24" s="49">
        <f>'II DZIEN'!J20</f>
        <v>0</v>
      </c>
      <c r="G24" s="49">
        <f>'II DZIEN'!U20</f>
        <v>0</v>
      </c>
    </row>
    <row r="25" spans="4:7" ht="13.5" thickBot="1">
      <c r="D25" s="82">
        <v>20</v>
      </c>
      <c r="E25" s="83">
        <f>'II DZIEN'!H21</f>
        <v>3.4000000000000002E-4</v>
      </c>
      <c r="F25" s="49">
        <f>'II DZIEN'!J21</f>
        <v>0</v>
      </c>
      <c r="G25" s="49">
        <f>'II DZIEN'!U21</f>
        <v>0</v>
      </c>
    </row>
    <row r="26" spans="4:7" ht="13.5" thickBot="1">
      <c r="D26" s="82">
        <v>21</v>
      </c>
      <c r="E26" s="83">
        <f>'II DZIEN'!H22</f>
        <v>3.3E-4</v>
      </c>
      <c r="F26" s="49">
        <f>'II DZIEN'!J22</f>
        <v>0</v>
      </c>
      <c r="G26" s="49">
        <f>'II DZIEN'!U22</f>
        <v>0</v>
      </c>
    </row>
    <row r="27" spans="4:7" ht="13.5" thickBot="1">
      <c r="D27" s="82">
        <v>22</v>
      </c>
      <c r="E27" s="83">
        <f>'II DZIEN'!H23</f>
        <v>3.2000000000000003E-4</v>
      </c>
      <c r="F27" s="49">
        <f>'II DZIEN'!J23</f>
        <v>0</v>
      </c>
      <c r="G27" s="49">
        <f>'II DZIEN'!U23</f>
        <v>0</v>
      </c>
    </row>
    <row r="28" spans="4:7" ht="13.5" thickBot="1">
      <c r="D28" s="82">
        <v>23</v>
      </c>
      <c r="E28" s="83">
        <f>'II DZIEN'!H24</f>
        <v>3.1E-4</v>
      </c>
      <c r="F28" s="49">
        <f>'II DZIEN'!J24</f>
        <v>0</v>
      </c>
      <c r="G28" s="49">
        <f>'II DZIEN'!U24</f>
        <v>0</v>
      </c>
    </row>
    <row r="29" spans="4:7" ht="13.5" thickBot="1">
      <c r="D29" s="82">
        <v>24</v>
      </c>
      <c r="E29" s="83">
        <f>'II DZIEN'!H25</f>
        <v>2.9999999999999997E-4</v>
      </c>
      <c r="F29" s="49">
        <f>'II DZIEN'!J25</f>
        <v>0</v>
      </c>
      <c r="G29" s="49">
        <f>'II DZIEN'!U25</f>
        <v>0</v>
      </c>
    </row>
    <row r="30" spans="4:7" ht="13.5" thickBot="1">
      <c r="D30" s="82">
        <v>25</v>
      </c>
      <c r="E30" s="83">
        <f>'II DZIEN'!H26</f>
        <v>2.9E-4</v>
      </c>
      <c r="F30" s="49">
        <f>'II DZIEN'!J26</f>
        <v>0</v>
      </c>
      <c r="G30" s="49">
        <f>'II DZIEN'!U26</f>
        <v>0</v>
      </c>
    </row>
    <row r="31" spans="4:7" ht="13.5" thickBot="1">
      <c r="D31" s="82">
        <v>26</v>
      </c>
      <c r="E31" s="83">
        <f>'II DZIEN'!H27</f>
        <v>2.7999999999999998E-4</v>
      </c>
      <c r="F31" s="49">
        <f>'II DZIEN'!J27</f>
        <v>0</v>
      </c>
      <c r="G31" s="49">
        <f>'II DZIEN'!U27</f>
        <v>0</v>
      </c>
    </row>
    <row r="32" spans="4:7" ht="13.5" thickBot="1">
      <c r="D32" s="82">
        <v>27</v>
      </c>
      <c r="E32" s="83">
        <f>'II DZIEN'!H28</f>
        <v>2.7E-4</v>
      </c>
      <c r="F32" s="49">
        <f>'II DZIEN'!J28</f>
        <v>0</v>
      </c>
      <c r="G32" s="49">
        <f>'II DZIEN'!U28</f>
        <v>0</v>
      </c>
    </row>
    <row r="33" spans="4:7" ht="13.5" thickBot="1">
      <c r="D33" s="82">
        <v>28</v>
      </c>
      <c r="E33" s="83">
        <f>'II DZIEN'!H29</f>
        <v>2.5999999999999998E-4</v>
      </c>
      <c r="F33" s="49">
        <f>'II DZIEN'!J29</f>
        <v>0</v>
      </c>
      <c r="G33" s="49">
        <f>'II DZIEN'!U29</f>
        <v>0</v>
      </c>
    </row>
    <row r="34" spans="4:7" ht="13.5" thickBot="1">
      <c r="D34" s="82">
        <v>29</v>
      </c>
      <c r="E34" s="83">
        <f>'II DZIEN'!H30</f>
        <v>2.5000000000000001E-4</v>
      </c>
      <c r="F34" s="49">
        <f>'II DZIEN'!J30</f>
        <v>0</v>
      </c>
      <c r="G34" s="49">
        <f>'II DZIEN'!U30</f>
        <v>0</v>
      </c>
    </row>
  </sheetData>
  <mergeCells count="1">
    <mergeCell ref="D2:G2"/>
  </mergeCells>
  <phoneticPr fontId="3" type="noConversion"/>
  <pageMargins left="0.54" right="0.39370078740157483" top="0.39370078740157483" bottom="0.39370078740157483" header="0.39370078740157483" footer="0.39370078740157483"/>
  <pageSetup paperSize="9" scale="140" orientation="portrait" horizontalDpi="4294967294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3"/>
  <dimension ref="A1:N317"/>
  <sheetViews>
    <sheetView showGridLines="0" view="pageBreakPreview" zoomScaleNormal="100" zoomScaleSheetLayoutView="75" workbookViewId="0">
      <selection activeCell="B16" sqref="B16"/>
    </sheetView>
  </sheetViews>
  <sheetFormatPr defaultRowHeight="12.75"/>
  <cols>
    <col min="1" max="1" width="20.28515625" style="44" bestFit="1" customWidth="1"/>
    <col min="2" max="2" width="23.28515625" style="119" bestFit="1" customWidth="1"/>
    <col min="3" max="3" width="6.140625" style="45" bestFit="1" customWidth="1"/>
    <col min="4" max="4" width="4.7109375" style="46" bestFit="1" customWidth="1"/>
    <col min="5" max="5" width="5.140625" style="45" bestFit="1" customWidth="1"/>
    <col min="6" max="6" width="3.7109375" style="46" bestFit="1" customWidth="1"/>
    <col min="7" max="7" width="6.5703125" style="45" bestFit="1" customWidth="1"/>
    <col min="8" max="8" width="3.7109375" style="46" bestFit="1" customWidth="1"/>
    <col min="9" max="9" width="5.42578125" style="45" bestFit="1" customWidth="1"/>
    <col min="10" max="10" width="4.7109375" style="46" bestFit="1" customWidth="1"/>
    <col min="11" max="11" width="7.140625" style="45" bestFit="1" customWidth="1"/>
    <col min="12" max="12" width="3.7109375" style="46" bestFit="1" customWidth="1"/>
    <col min="13" max="13" width="7.5703125" style="47" bestFit="1" customWidth="1"/>
    <col min="14" max="14" width="7.42578125" style="36" bestFit="1" customWidth="1"/>
  </cols>
  <sheetData>
    <row r="1" spans="1:14" s="36" customFormat="1" ht="37.5" customHeight="1" thickBot="1">
      <c r="A1"/>
      <c r="B1" s="98"/>
      <c r="C1" s="146" t="s">
        <v>43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36" customFormat="1" ht="14.25" thickTop="1" thickBot="1">
      <c r="A2" s="37"/>
      <c r="B2" s="38"/>
      <c r="C2" s="39"/>
      <c r="D2" s="40"/>
      <c r="E2" s="39"/>
      <c r="F2" s="40"/>
      <c r="G2" s="39"/>
      <c r="H2" s="40"/>
      <c r="I2" s="39"/>
      <c r="J2" s="40"/>
      <c r="K2" s="39"/>
      <c r="L2" s="40"/>
      <c r="M2" s="37"/>
      <c r="N2" s="37"/>
    </row>
    <row r="3" spans="1:14" ht="14.25" thickTop="1" thickBot="1">
      <c r="A3" s="41"/>
      <c r="B3" s="118"/>
      <c r="C3" s="42"/>
      <c r="D3" s="43"/>
      <c r="E3" s="42"/>
      <c r="F3" s="43"/>
      <c r="G3" s="42"/>
      <c r="H3" s="43"/>
      <c r="I3" s="42"/>
      <c r="J3" s="43"/>
      <c r="K3" s="42"/>
      <c r="L3" s="43"/>
      <c r="M3" s="37"/>
      <c r="N3" s="37"/>
    </row>
    <row r="4" spans="1:14" ht="14.25" thickTop="1" thickBot="1">
      <c r="A4" s="41"/>
      <c r="B4" s="118"/>
      <c r="C4" s="42"/>
      <c r="D4" s="43"/>
      <c r="E4" s="42"/>
      <c r="F4" s="43"/>
      <c r="G4" s="42"/>
      <c r="H4" s="43"/>
      <c r="I4" s="42"/>
      <c r="J4" s="43"/>
      <c r="K4" s="42"/>
      <c r="L4" s="43"/>
      <c r="M4" s="37"/>
      <c r="N4" s="37"/>
    </row>
    <row r="5" spans="1:14" ht="14.25" thickTop="1" thickBot="1">
      <c r="A5" s="41"/>
      <c r="B5" s="118"/>
      <c r="C5" s="42"/>
      <c r="D5" s="43"/>
      <c r="E5" s="42"/>
      <c r="F5" s="43"/>
      <c r="G5" s="42"/>
      <c r="H5" s="43"/>
      <c r="I5" s="42"/>
      <c r="J5" s="43"/>
      <c r="K5" s="42"/>
      <c r="L5" s="43"/>
      <c r="M5" s="37"/>
      <c r="N5" s="37"/>
    </row>
    <row r="6" spans="1:14" ht="14.25" thickTop="1" thickBot="1">
      <c r="A6" s="41"/>
      <c r="B6" s="118"/>
      <c r="C6" s="42"/>
      <c r="D6" s="43"/>
      <c r="E6" s="42"/>
      <c r="F6" s="43"/>
      <c r="G6" s="42"/>
      <c r="H6" s="43"/>
      <c r="I6" s="42"/>
      <c r="J6" s="43"/>
      <c r="K6" s="42"/>
      <c r="L6" s="43"/>
      <c r="M6" s="37"/>
      <c r="N6" s="37"/>
    </row>
    <row r="7" spans="1:14" ht="14.25" thickTop="1" thickBot="1">
      <c r="A7" s="41"/>
      <c r="B7" s="118"/>
      <c r="C7" s="42"/>
      <c r="D7" s="43"/>
      <c r="E7" s="42"/>
      <c r="F7" s="43"/>
      <c r="G7" s="42"/>
      <c r="H7" s="43"/>
      <c r="I7" s="42"/>
      <c r="J7" s="43"/>
      <c r="K7" s="42"/>
      <c r="L7" s="43"/>
      <c r="M7" s="37"/>
      <c r="N7" s="37"/>
    </row>
    <row r="8" spans="1:14" ht="14.25" thickTop="1" thickBot="1">
      <c r="A8" s="41"/>
      <c r="B8" s="118"/>
      <c r="C8" s="42"/>
      <c r="D8" s="43"/>
      <c r="E8" s="42"/>
      <c r="F8" s="43"/>
      <c r="G8" s="42"/>
      <c r="H8" s="43"/>
      <c r="I8" s="42"/>
      <c r="J8" s="43"/>
      <c r="K8" s="42"/>
      <c r="L8" s="43"/>
      <c r="M8" s="37"/>
      <c r="N8" s="37"/>
    </row>
    <row r="9" spans="1:14" s="36" customFormat="1" ht="14.25" thickTop="1" thickBot="1">
      <c r="A9" s="37"/>
      <c r="B9" s="117"/>
      <c r="C9" s="39"/>
      <c r="D9" s="40"/>
      <c r="E9" s="39"/>
      <c r="F9" s="40"/>
      <c r="G9" s="39"/>
      <c r="H9" s="40"/>
      <c r="I9" s="39"/>
      <c r="J9" s="40"/>
      <c r="K9" s="39"/>
      <c r="L9" s="40"/>
      <c r="M9" s="37"/>
      <c r="N9" s="37"/>
    </row>
    <row r="10" spans="1:14" ht="14.25" thickTop="1" thickBot="1">
      <c r="A10" s="41"/>
      <c r="B10" s="118"/>
      <c r="C10" s="42"/>
      <c r="D10" s="43"/>
      <c r="E10" s="42"/>
      <c r="F10" s="43"/>
      <c r="G10" s="42"/>
      <c r="H10" s="43"/>
      <c r="I10" s="42"/>
      <c r="J10" s="43"/>
      <c r="K10" s="42"/>
      <c r="L10" s="43"/>
      <c r="M10" s="37"/>
      <c r="N10" s="37"/>
    </row>
    <row r="11" spans="1:14" ht="14.25" thickTop="1" thickBot="1">
      <c r="A11" s="41"/>
      <c r="B11" s="118"/>
      <c r="C11" s="42"/>
      <c r="D11" s="43"/>
      <c r="E11" s="42"/>
      <c r="F11" s="43"/>
      <c r="G11" s="42"/>
      <c r="H11" s="43"/>
      <c r="I11" s="42"/>
      <c r="J11" s="43"/>
      <c r="K11" s="42"/>
      <c r="L11" s="43"/>
      <c r="M11" s="37"/>
      <c r="N11" s="37"/>
    </row>
    <row r="12" spans="1:14" ht="14.25" thickTop="1" thickBot="1">
      <c r="A12" s="41"/>
      <c r="B12" s="118"/>
      <c r="C12" s="42"/>
      <c r="D12" s="43"/>
      <c r="E12" s="42"/>
      <c r="F12" s="43"/>
      <c r="G12" s="42"/>
      <c r="H12" s="43"/>
      <c r="I12" s="42"/>
      <c r="J12" s="43"/>
      <c r="K12" s="42"/>
      <c r="L12" s="43"/>
      <c r="M12" s="37"/>
      <c r="N12" s="37"/>
    </row>
    <row r="13" spans="1:14" ht="14.25" thickTop="1" thickBot="1">
      <c r="A13" s="41"/>
      <c r="B13" s="118"/>
      <c r="C13" s="42"/>
      <c r="D13" s="43"/>
      <c r="E13" s="42"/>
      <c r="F13" s="43"/>
      <c r="G13" s="42"/>
      <c r="H13" s="43"/>
      <c r="I13" s="42"/>
      <c r="J13" s="43"/>
      <c r="K13" s="42"/>
      <c r="L13" s="43"/>
      <c r="M13" s="37"/>
      <c r="N13" s="37"/>
    </row>
    <row r="14" spans="1:14" ht="14.25" thickTop="1" thickBot="1">
      <c r="A14" s="41"/>
      <c r="B14" s="118"/>
      <c r="C14" s="42"/>
      <c r="D14" s="43"/>
      <c r="E14" s="42"/>
      <c r="F14" s="43"/>
      <c r="G14" s="42"/>
      <c r="H14" s="43"/>
      <c r="I14" s="42"/>
      <c r="J14" s="43"/>
      <c r="K14" s="42"/>
      <c r="L14" s="43"/>
      <c r="M14" s="37"/>
      <c r="N14" s="37"/>
    </row>
    <row r="15" spans="1:14" ht="14.25" thickTop="1" thickBot="1">
      <c r="A15" s="41"/>
      <c r="B15" s="118"/>
      <c r="C15" s="42"/>
      <c r="D15" s="43"/>
      <c r="E15" s="42"/>
      <c r="F15" s="43"/>
      <c r="G15" s="42"/>
      <c r="H15" s="43"/>
      <c r="I15" s="42"/>
      <c r="J15" s="43"/>
      <c r="K15" s="42"/>
      <c r="L15" s="43"/>
      <c r="M15" s="37"/>
      <c r="N15" s="37"/>
    </row>
    <row r="16" spans="1:14" s="36" customFormat="1" ht="14.25" thickTop="1" thickBot="1">
      <c r="A16" s="37"/>
      <c r="B16" s="117"/>
      <c r="C16" s="39"/>
      <c r="D16" s="40"/>
      <c r="E16" s="39"/>
      <c r="F16" s="40"/>
      <c r="G16" s="39"/>
      <c r="H16" s="40"/>
      <c r="I16" s="39"/>
      <c r="J16" s="40"/>
      <c r="K16" s="39"/>
      <c r="L16" s="40"/>
      <c r="M16" s="37"/>
      <c r="N16" s="37"/>
    </row>
    <row r="17" spans="1:14" ht="14.25" thickTop="1" thickBot="1">
      <c r="A17" s="41"/>
      <c r="B17" s="118"/>
      <c r="C17" s="42"/>
      <c r="D17" s="43"/>
      <c r="E17" s="42"/>
      <c r="F17" s="43"/>
      <c r="G17" s="42"/>
      <c r="H17" s="43"/>
      <c r="I17" s="42"/>
      <c r="J17" s="43"/>
      <c r="K17" s="42"/>
      <c r="L17" s="43"/>
      <c r="M17" s="37"/>
      <c r="N17" s="37"/>
    </row>
    <row r="18" spans="1:14" ht="14.25" thickTop="1" thickBot="1">
      <c r="A18" s="41"/>
      <c r="B18" s="118"/>
      <c r="C18" s="42"/>
      <c r="D18" s="43"/>
      <c r="E18" s="42"/>
      <c r="F18" s="43"/>
      <c r="G18" s="42"/>
      <c r="H18" s="43"/>
      <c r="I18" s="42"/>
      <c r="J18" s="43"/>
      <c r="K18" s="42"/>
      <c r="L18" s="43"/>
      <c r="M18" s="37"/>
      <c r="N18" s="37"/>
    </row>
    <row r="19" spans="1:14" ht="14.25" thickTop="1" thickBot="1">
      <c r="A19" s="41"/>
      <c r="B19" s="118"/>
      <c r="C19" s="42"/>
      <c r="D19" s="43"/>
      <c r="E19" s="42"/>
      <c r="F19" s="43"/>
      <c r="G19" s="42"/>
      <c r="H19" s="43"/>
      <c r="I19" s="42"/>
      <c r="J19" s="43"/>
      <c r="K19" s="42"/>
      <c r="L19" s="43"/>
      <c r="M19" s="37"/>
      <c r="N19" s="37"/>
    </row>
    <row r="20" spans="1:14" ht="14.25" thickTop="1" thickBot="1">
      <c r="A20" s="41"/>
      <c r="B20" s="118"/>
      <c r="C20" s="42"/>
      <c r="D20" s="43"/>
      <c r="E20" s="42"/>
      <c r="F20" s="43"/>
      <c r="G20" s="42"/>
      <c r="H20" s="43"/>
      <c r="I20" s="42"/>
      <c r="J20" s="43"/>
      <c r="K20" s="42"/>
      <c r="L20" s="43"/>
      <c r="M20" s="37"/>
      <c r="N20" s="37"/>
    </row>
    <row r="21" spans="1:14" ht="14.25" thickTop="1" thickBot="1">
      <c r="A21" s="41"/>
      <c r="B21" s="118"/>
      <c r="C21" s="42"/>
      <c r="D21" s="43"/>
      <c r="E21" s="42"/>
      <c r="F21" s="43"/>
      <c r="G21" s="42"/>
      <c r="H21" s="43"/>
      <c r="I21" s="42"/>
      <c r="J21" s="43"/>
      <c r="K21" s="42"/>
      <c r="L21" s="43"/>
      <c r="M21" s="37"/>
      <c r="N21" s="37"/>
    </row>
    <row r="22" spans="1:14" ht="14.25" thickTop="1" thickBot="1">
      <c r="A22" s="41"/>
      <c r="B22" s="118"/>
      <c r="C22" s="42"/>
      <c r="D22" s="43"/>
      <c r="E22" s="42"/>
      <c r="F22" s="43"/>
      <c r="G22" s="42"/>
      <c r="H22" s="43"/>
      <c r="I22" s="42"/>
      <c r="J22" s="43"/>
      <c r="K22" s="42"/>
      <c r="L22" s="43"/>
      <c r="M22" s="37"/>
      <c r="N22" s="37"/>
    </row>
    <row r="23" spans="1:14" s="36" customFormat="1" ht="14.25" thickTop="1" thickBot="1">
      <c r="A23" s="37"/>
      <c r="B23" s="117"/>
      <c r="C23" s="39"/>
      <c r="D23" s="40"/>
      <c r="E23" s="39"/>
      <c r="F23" s="40"/>
      <c r="G23" s="39"/>
      <c r="H23" s="40"/>
      <c r="I23" s="39"/>
      <c r="J23" s="40"/>
      <c r="K23" s="39"/>
      <c r="L23" s="40"/>
      <c r="M23" s="37"/>
      <c r="N23" s="37"/>
    </row>
    <row r="24" spans="1:14" ht="14.25" thickTop="1" thickBot="1">
      <c r="A24" s="41"/>
      <c r="B24" s="118"/>
      <c r="C24" s="42"/>
      <c r="D24" s="43"/>
      <c r="E24" s="42"/>
      <c r="F24" s="43"/>
      <c r="G24" s="42"/>
      <c r="H24" s="43"/>
      <c r="I24" s="42"/>
      <c r="J24" s="43"/>
      <c r="K24" s="42"/>
      <c r="L24" s="43"/>
      <c r="M24" s="37"/>
      <c r="N24" s="37"/>
    </row>
    <row r="25" spans="1:14" ht="14.25" thickTop="1" thickBot="1">
      <c r="A25" s="41"/>
      <c r="B25" s="118"/>
      <c r="C25" s="42"/>
      <c r="D25" s="43"/>
      <c r="E25" s="42"/>
      <c r="F25" s="43"/>
      <c r="G25" s="42"/>
      <c r="H25" s="43"/>
      <c r="I25" s="42"/>
      <c r="J25" s="43"/>
      <c r="K25" s="42"/>
      <c r="L25" s="43"/>
      <c r="M25" s="37"/>
      <c r="N25" s="37"/>
    </row>
    <row r="26" spans="1:14" ht="14.25" thickTop="1" thickBot="1">
      <c r="A26" s="41"/>
      <c r="B26" s="118"/>
      <c r="C26" s="42"/>
      <c r="D26" s="43"/>
      <c r="E26" s="42"/>
      <c r="F26" s="43"/>
      <c r="G26" s="42"/>
      <c r="H26" s="43"/>
      <c r="I26" s="42"/>
      <c r="J26" s="43"/>
      <c r="K26" s="42"/>
      <c r="L26" s="43"/>
      <c r="M26" s="37"/>
      <c r="N26" s="37"/>
    </row>
    <row r="27" spans="1:14" ht="14.25" thickTop="1" thickBot="1">
      <c r="A27" s="41"/>
      <c r="B27" s="118"/>
      <c r="C27" s="42"/>
      <c r="D27" s="43"/>
      <c r="E27" s="42"/>
      <c r="F27" s="43"/>
      <c r="G27" s="42"/>
      <c r="H27" s="43"/>
      <c r="I27" s="42"/>
      <c r="J27" s="43"/>
      <c r="K27" s="42"/>
      <c r="L27" s="43"/>
      <c r="M27" s="37"/>
      <c r="N27" s="37"/>
    </row>
    <row r="28" spans="1:14" ht="14.25" thickTop="1" thickBot="1">
      <c r="A28" s="41"/>
      <c r="B28" s="118"/>
      <c r="C28" s="42"/>
      <c r="D28" s="43"/>
      <c r="E28" s="42"/>
      <c r="F28" s="43"/>
      <c r="G28" s="42"/>
      <c r="H28" s="43"/>
      <c r="I28" s="42"/>
      <c r="J28" s="43"/>
      <c r="K28" s="42"/>
      <c r="L28" s="43"/>
      <c r="M28" s="37"/>
      <c r="N28" s="37"/>
    </row>
    <row r="29" spans="1:14" ht="14.25" thickTop="1" thickBot="1">
      <c r="A29" s="41"/>
      <c r="B29" s="118"/>
      <c r="C29" s="42"/>
      <c r="D29" s="43"/>
      <c r="E29" s="42"/>
      <c r="F29" s="43"/>
      <c r="G29" s="42"/>
      <c r="H29" s="43"/>
      <c r="I29" s="42"/>
      <c r="J29" s="43"/>
      <c r="K29" s="42"/>
      <c r="L29" s="43"/>
      <c r="M29" s="37"/>
      <c r="N29" s="37"/>
    </row>
    <row r="30" spans="1:14" s="36" customFormat="1" ht="14.25" thickTop="1" thickBot="1">
      <c r="A30" s="37"/>
      <c r="B30" s="117"/>
      <c r="C30" s="39"/>
      <c r="D30" s="40"/>
      <c r="E30" s="39"/>
      <c r="F30" s="40"/>
      <c r="G30" s="39"/>
      <c r="H30" s="40"/>
      <c r="I30" s="39"/>
      <c r="J30" s="40"/>
      <c r="K30" s="39"/>
      <c r="L30" s="40"/>
      <c r="M30" s="37"/>
      <c r="N30" s="37"/>
    </row>
    <row r="31" spans="1:14" ht="14.25" thickTop="1" thickBot="1">
      <c r="A31" s="41"/>
      <c r="B31" s="118"/>
      <c r="C31" s="42"/>
      <c r="D31" s="43"/>
      <c r="E31" s="42"/>
      <c r="F31" s="43"/>
      <c r="G31" s="42"/>
      <c r="H31" s="43"/>
      <c r="I31" s="42"/>
      <c r="J31" s="43"/>
      <c r="K31" s="42"/>
      <c r="L31" s="43"/>
      <c r="M31" s="37"/>
      <c r="N31" s="37"/>
    </row>
    <row r="32" spans="1:14" ht="14.25" thickTop="1" thickBot="1">
      <c r="A32" s="41"/>
      <c r="B32" s="118"/>
      <c r="C32" s="42"/>
      <c r="D32" s="43"/>
      <c r="E32" s="42"/>
      <c r="F32" s="43"/>
      <c r="G32" s="42"/>
      <c r="H32" s="43"/>
      <c r="I32" s="42"/>
      <c r="J32" s="43"/>
      <c r="K32" s="42"/>
      <c r="L32" s="43"/>
      <c r="M32" s="37"/>
      <c r="N32" s="37"/>
    </row>
    <row r="33" spans="1:14" ht="14.25" thickTop="1" thickBot="1">
      <c r="A33" s="41"/>
      <c r="B33" s="118"/>
      <c r="C33" s="42"/>
      <c r="D33" s="43"/>
      <c r="E33" s="42"/>
      <c r="F33" s="43"/>
      <c r="G33" s="42"/>
      <c r="H33" s="43"/>
      <c r="I33" s="42"/>
      <c r="J33" s="43"/>
      <c r="K33" s="42"/>
      <c r="L33" s="43"/>
      <c r="M33" s="37"/>
      <c r="N33" s="37"/>
    </row>
    <row r="34" spans="1:14" ht="14.25" thickTop="1" thickBot="1">
      <c r="A34" s="41"/>
      <c r="B34" s="118"/>
      <c r="C34" s="42"/>
      <c r="D34" s="43"/>
      <c r="E34" s="42"/>
      <c r="F34" s="43"/>
      <c r="G34" s="42"/>
      <c r="H34" s="43"/>
      <c r="I34" s="42"/>
      <c r="J34" s="43"/>
      <c r="K34" s="42"/>
      <c r="L34" s="43"/>
      <c r="M34" s="37"/>
      <c r="N34" s="37"/>
    </row>
    <row r="35" spans="1:14" ht="14.25" thickTop="1" thickBot="1">
      <c r="A35" s="41"/>
      <c r="B35" s="118"/>
      <c r="C35" s="42"/>
      <c r="D35" s="43"/>
      <c r="E35" s="42"/>
      <c r="F35" s="43"/>
      <c r="G35" s="42"/>
      <c r="H35" s="43"/>
      <c r="I35" s="42"/>
      <c r="J35" s="43"/>
      <c r="K35" s="42"/>
      <c r="L35" s="43"/>
      <c r="M35" s="37"/>
      <c r="N35" s="37"/>
    </row>
    <row r="36" spans="1:14" ht="14.25" thickTop="1" thickBot="1">
      <c r="A36" s="41"/>
      <c r="B36" s="118"/>
      <c r="C36" s="42"/>
      <c r="D36" s="43"/>
      <c r="E36" s="42"/>
      <c r="F36" s="43"/>
      <c r="G36" s="42"/>
      <c r="H36" s="43"/>
      <c r="I36" s="42"/>
      <c r="J36" s="43"/>
      <c r="K36" s="42"/>
      <c r="L36" s="43"/>
      <c r="M36" s="37"/>
      <c r="N36" s="37"/>
    </row>
    <row r="37" spans="1:14" s="36" customFormat="1" ht="14.25" thickTop="1" thickBot="1">
      <c r="A37" s="37"/>
      <c r="B37" s="117"/>
      <c r="C37" s="39"/>
      <c r="D37" s="40"/>
      <c r="E37" s="39"/>
      <c r="F37" s="40"/>
      <c r="G37" s="39"/>
      <c r="H37" s="40"/>
      <c r="I37" s="39"/>
      <c r="J37" s="40"/>
      <c r="K37" s="39"/>
      <c r="L37" s="40"/>
      <c r="M37" s="37"/>
      <c r="N37" s="37"/>
    </row>
    <row r="38" spans="1:14" ht="14.25" thickTop="1" thickBot="1">
      <c r="A38" s="41"/>
      <c r="B38" s="118"/>
      <c r="C38" s="42"/>
      <c r="D38" s="43"/>
      <c r="E38" s="42"/>
      <c r="F38" s="43"/>
      <c r="G38" s="42"/>
      <c r="H38" s="43"/>
      <c r="I38" s="42"/>
      <c r="J38" s="43"/>
      <c r="K38" s="42"/>
      <c r="L38" s="43"/>
      <c r="M38" s="37"/>
      <c r="N38" s="37"/>
    </row>
    <row r="39" spans="1:14" ht="14.25" thickTop="1" thickBot="1">
      <c r="A39" s="41"/>
      <c r="B39" s="118"/>
      <c r="C39" s="42"/>
      <c r="D39" s="43"/>
      <c r="E39" s="42"/>
      <c r="F39" s="43"/>
      <c r="G39" s="42"/>
      <c r="H39" s="43"/>
      <c r="I39" s="42"/>
      <c r="J39" s="43"/>
      <c r="K39" s="42"/>
      <c r="L39" s="43"/>
      <c r="M39" s="37"/>
      <c r="N39" s="37"/>
    </row>
    <row r="40" spans="1:14" ht="14.25" thickTop="1" thickBot="1">
      <c r="A40" s="41"/>
      <c r="B40" s="118"/>
      <c r="C40" s="42"/>
      <c r="D40" s="43"/>
      <c r="E40" s="42"/>
      <c r="F40" s="43"/>
      <c r="G40" s="42"/>
      <c r="H40" s="43"/>
      <c r="I40" s="42"/>
      <c r="J40" s="43"/>
      <c r="K40" s="42"/>
      <c r="L40" s="43"/>
      <c r="M40" s="37"/>
      <c r="N40" s="37"/>
    </row>
    <row r="41" spans="1:14" ht="14.25" thickTop="1" thickBot="1">
      <c r="A41" s="41"/>
      <c r="B41" s="118"/>
      <c r="C41" s="42"/>
      <c r="D41" s="43"/>
      <c r="E41" s="42"/>
      <c r="F41" s="43"/>
      <c r="G41" s="42"/>
      <c r="H41" s="43"/>
      <c r="I41" s="42"/>
      <c r="J41" s="43"/>
      <c r="K41" s="42"/>
      <c r="L41" s="43"/>
      <c r="M41" s="37"/>
      <c r="N41" s="37"/>
    </row>
    <row r="42" spans="1:14" ht="14.25" thickTop="1" thickBot="1">
      <c r="A42" s="41"/>
      <c r="B42" s="118"/>
      <c r="C42" s="42"/>
      <c r="D42" s="43"/>
      <c r="E42" s="42"/>
      <c r="F42" s="43"/>
      <c r="G42" s="42"/>
      <c r="H42" s="43"/>
      <c r="I42" s="42"/>
      <c r="J42" s="43"/>
      <c r="K42" s="42"/>
      <c r="L42" s="43"/>
      <c r="M42" s="37"/>
      <c r="N42" s="37"/>
    </row>
    <row r="43" spans="1:14" ht="14.25" thickTop="1" thickBot="1">
      <c r="A43" s="41"/>
      <c r="B43" s="118"/>
      <c r="C43" s="42"/>
      <c r="D43" s="43"/>
      <c r="E43" s="42"/>
      <c r="F43" s="43"/>
      <c r="G43" s="42"/>
      <c r="H43" s="43"/>
      <c r="I43" s="42"/>
      <c r="J43" s="43"/>
      <c r="K43" s="42"/>
      <c r="L43" s="43"/>
      <c r="M43" s="37"/>
      <c r="N43" s="37"/>
    </row>
    <row r="44" spans="1:14" s="36" customFormat="1" ht="14.25" thickTop="1" thickBot="1">
      <c r="A44" s="37"/>
      <c r="B44" s="117"/>
      <c r="C44" s="39"/>
      <c r="D44" s="40"/>
      <c r="E44" s="39"/>
      <c r="F44" s="40"/>
      <c r="G44" s="39"/>
      <c r="H44" s="40"/>
      <c r="I44" s="39"/>
      <c r="J44" s="40"/>
      <c r="K44" s="39"/>
      <c r="L44" s="40"/>
      <c r="M44" s="37"/>
      <c r="N44" s="37"/>
    </row>
    <row r="45" spans="1:14" ht="14.25" thickTop="1" thickBot="1">
      <c r="A45" s="41"/>
      <c r="B45" s="118"/>
      <c r="C45" s="42"/>
      <c r="D45" s="43"/>
      <c r="E45" s="42"/>
      <c r="F45" s="43"/>
      <c r="G45" s="42"/>
      <c r="H45" s="43"/>
      <c r="I45" s="42"/>
      <c r="J45" s="43"/>
      <c r="K45" s="42"/>
      <c r="L45" s="43"/>
      <c r="M45" s="37"/>
      <c r="N45" s="37"/>
    </row>
    <row r="46" spans="1:14" ht="14.25" thickTop="1" thickBot="1">
      <c r="A46" s="41"/>
      <c r="B46" s="118"/>
      <c r="C46" s="42"/>
      <c r="D46" s="43"/>
      <c r="E46" s="42"/>
      <c r="F46" s="43"/>
      <c r="G46" s="42"/>
      <c r="H46" s="43"/>
      <c r="I46" s="42"/>
      <c r="J46" s="43"/>
      <c r="K46" s="42"/>
      <c r="L46" s="43"/>
      <c r="M46" s="37"/>
      <c r="N46" s="37"/>
    </row>
    <row r="47" spans="1:14" ht="14.25" thickTop="1" thickBot="1">
      <c r="A47" s="41"/>
      <c r="B47" s="118"/>
      <c r="C47" s="42"/>
      <c r="D47" s="43"/>
      <c r="E47" s="42"/>
      <c r="F47" s="43"/>
      <c r="G47" s="42"/>
      <c r="H47" s="43"/>
      <c r="I47" s="42"/>
      <c r="J47" s="43"/>
      <c r="K47" s="42"/>
      <c r="L47" s="43"/>
      <c r="M47" s="37"/>
      <c r="N47" s="37"/>
    </row>
    <row r="48" spans="1:14" ht="14.25" thickTop="1" thickBot="1">
      <c r="A48" s="41"/>
      <c r="B48" s="118"/>
      <c r="C48" s="42"/>
      <c r="D48" s="43"/>
      <c r="E48" s="42"/>
      <c r="F48" s="43"/>
      <c r="G48" s="42"/>
      <c r="H48" s="43"/>
      <c r="I48" s="42"/>
      <c r="J48" s="43"/>
      <c r="K48" s="42"/>
      <c r="L48" s="43"/>
      <c r="M48" s="37"/>
      <c r="N48" s="37"/>
    </row>
    <row r="49" spans="1:14" ht="14.25" thickTop="1" thickBot="1">
      <c r="A49" s="41"/>
      <c r="B49" s="118"/>
      <c r="C49" s="42"/>
      <c r="D49" s="43"/>
      <c r="E49" s="42"/>
      <c r="F49" s="43"/>
      <c r="G49" s="42"/>
      <c r="H49" s="43"/>
      <c r="I49" s="42"/>
      <c r="J49" s="43"/>
      <c r="K49" s="42"/>
      <c r="L49" s="43"/>
      <c r="M49" s="37"/>
      <c r="N49" s="37"/>
    </row>
    <row r="50" spans="1:14" ht="14.25" thickTop="1" thickBot="1">
      <c r="A50" s="41"/>
      <c r="B50" s="118"/>
      <c r="C50" s="42"/>
      <c r="D50" s="43"/>
      <c r="E50" s="42"/>
      <c r="F50" s="43"/>
      <c r="G50" s="42"/>
      <c r="H50" s="43"/>
      <c r="I50" s="42"/>
      <c r="J50" s="43"/>
      <c r="K50" s="42"/>
      <c r="L50" s="43"/>
      <c r="M50" s="37"/>
      <c r="N50" s="37"/>
    </row>
    <row r="51" spans="1:14" s="36" customFormat="1" ht="14.25" thickTop="1" thickBot="1">
      <c r="A51" s="37"/>
      <c r="B51" s="117"/>
      <c r="C51" s="39"/>
      <c r="D51" s="40"/>
      <c r="E51" s="39"/>
      <c r="F51" s="40"/>
      <c r="G51" s="39"/>
      <c r="H51" s="40"/>
      <c r="I51" s="39"/>
      <c r="J51" s="40"/>
      <c r="K51" s="39"/>
      <c r="L51" s="40"/>
      <c r="M51" s="37"/>
      <c r="N51" s="37"/>
    </row>
    <row r="52" spans="1:14" ht="14.25" thickTop="1" thickBot="1">
      <c r="A52" s="41"/>
      <c r="B52" s="118"/>
      <c r="C52" s="42"/>
      <c r="D52" s="43"/>
      <c r="E52" s="42"/>
      <c r="F52" s="43"/>
      <c r="G52" s="42"/>
      <c r="H52" s="43"/>
      <c r="I52" s="42"/>
      <c r="J52" s="43"/>
      <c r="K52" s="42"/>
      <c r="L52" s="43"/>
      <c r="M52" s="37"/>
      <c r="N52" s="37"/>
    </row>
    <row r="53" spans="1:14" ht="14.25" thickTop="1" thickBot="1">
      <c r="A53" s="41"/>
      <c r="B53" s="118"/>
      <c r="C53" s="42"/>
      <c r="D53" s="43"/>
      <c r="E53" s="42"/>
      <c r="F53" s="43"/>
      <c r="G53" s="42"/>
      <c r="H53" s="43"/>
      <c r="I53" s="42"/>
      <c r="J53" s="43"/>
      <c r="K53" s="42"/>
      <c r="L53" s="43"/>
      <c r="M53" s="37"/>
      <c r="N53" s="37"/>
    </row>
    <row r="54" spans="1:14" ht="14.25" thickTop="1" thickBot="1">
      <c r="A54" s="41"/>
      <c r="B54" s="118"/>
      <c r="C54" s="42"/>
      <c r="D54" s="43"/>
      <c r="E54" s="42"/>
      <c r="F54" s="43"/>
      <c r="G54" s="42"/>
      <c r="H54" s="43"/>
      <c r="I54" s="42"/>
      <c r="J54" s="43"/>
      <c r="K54" s="42"/>
      <c r="L54" s="43"/>
      <c r="M54" s="37"/>
      <c r="N54" s="37"/>
    </row>
    <row r="55" spans="1:14" ht="14.25" thickTop="1" thickBot="1">
      <c r="A55" s="41"/>
      <c r="B55" s="118"/>
      <c r="C55" s="42"/>
      <c r="D55" s="43"/>
      <c r="E55" s="42"/>
      <c r="F55" s="43"/>
      <c r="G55" s="42"/>
      <c r="H55" s="43"/>
      <c r="I55" s="42"/>
      <c r="J55" s="43"/>
      <c r="K55" s="42"/>
      <c r="L55" s="43"/>
      <c r="M55" s="37"/>
      <c r="N55" s="37"/>
    </row>
    <row r="56" spans="1:14" ht="14.25" thickTop="1" thickBot="1">
      <c r="A56" s="41"/>
      <c r="B56" s="118"/>
      <c r="C56" s="42"/>
      <c r="D56" s="43"/>
      <c r="E56" s="42"/>
      <c r="F56" s="43"/>
      <c r="G56" s="42"/>
      <c r="H56" s="43"/>
      <c r="I56" s="42"/>
      <c r="J56" s="43"/>
      <c r="K56" s="42"/>
      <c r="L56" s="43"/>
      <c r="M56" s="37"/>
      <c r="N56" s="37"/>
    </row>
    <row r="57" spans="1:14" ht="14.25" thickTop="1" thickBot="1">
      <c r="A57" s="41"/>
      <c r="B57" s="118"/>
      <c r="C57" s="42"/>
      <c r="D57" s="43"/>
      <c r="E57" s="42"/>
      <c r="F57" s="43"/>
      <c r="G57" s="42"/>
      <c r="H57" s="43"/>
      <c r="I57" s="42"/>
      <c r="J57" s="43"/>
      <c r="K57" s="42"/>
      <c r="L57" s="43"/>
      <c r="M57" s="37"/>
      <c r="N57" s="37"/>
    </row>
    <row r="58" spans="1:14" s="36" customFormat="1" ht="14.25" thickTop="1" thickBot="1">
      <c r="A58" s="37"/>
      <c r="B58" s="117"/>
      <c r="C58" s="39"/>
      <c r="D58" s="40"/>
      <c r="E58" s="39"/>
      <c r="F58" s="40"/>
      <c r="G58" s="39"/>
      <c r="H58" s="40"/>
      <c r="I58" s="39"/>
      <c r="J58" s="40"/>
      <c r="K58" s="39"/>
      <c r="L58" s="40"/>
      <c r="M58" s="37"/>
      <c r="N58" s="37"/>
    </row>
    <row r="59" spans="1:14" ht="14.25" thickTop="1" thickBot="1">
      <c r="A59" s="41"/>
      <c r="B59" s="118"/>
      <c r="C59" s="42"/>
      <c r="D59" s="43"/>
      <c r="E59" s="42"/>
      <c r="F59" s="43"/>
      <c r="G59" s="42"/>
      <c r="H59" s="43"/>
      <c r="I59" s="42"/>
      <c r="J59" s="43"/>
      <c r="K59" s="42"/>
      <c r="L59" s="43"/>
      <c r="M59" s="37"/>
      <c r="N59" s="37"/>
    </row>
    <row r="60" spans="1:14" ht="14.25" thickTop="1" thickBot="1">
      <c r="A60" s="41"/>
      <c r="B60" s="118"/>
      <c r="C60" s="42"/>
      <c r="D60" s="43"/>
      <c r="E60" s="42"/>
      <c r="F60" s="43"/>
      <c r="G60" s="42"/>
      <c r="H60" s="43"/>
      <c r="I60" s="42"/>
      <c r="J60" s="43"/>
      <c r="K60" s="42"/>
      <c r="L60" s="43"/>
      <c r="M60" s="37"/>
      <c r="N60" s="37"/>
    </row>
    <row r="61" spans="1:14" ht="14.25" thickTop="1" thickBot="1">
      <c r="A61" s="41"/>
      <c r="B61" s="118"/>
      <c r="C61" s="42"/>
      <c r="D61" s="43"/>
      <c r="E61" s="42"/>
      <c r="F61" s="43"/>
      <c r="G61" s="42"/>
      <c r="H61" s="43"/>
      <c r="I61" s="42"/>
      <c r="J61" s="43"/>
      <c r="K61" s="42"/>
      <c r="L61" s="43"/>
      <c r="M61" s="37"/>
      <c r="N61" s="37"/>
    </row>
    <row r="62" spans="1:14" ht="14.25" thickTop="1" thickBot="1">
      <c r="A62" s="41"/>
      <c r="B62" s="118"/>
      <c r="C62" s="42"/>
      <c r="D62" s="43"/>
      <c r="E62" s="42"/>
      <c r="F62" s="43"/>
      <c r="G62" s="42"/>
      <c r="H62" s="43"/>
      <c r="I62" s="42"/>
      <c r="J62" s="43"/>
      <c r="K62" s="42"/>
      <c r="L62" s="43"/>
      <c r="M62" s="37"/>
      <c r="N62" s="37"/>
    </row>
    <row r="63" spans="1:14" ht="14.25" thickTop="1" thickBot="1">
      <c r="A63" s="41"/>
      <c r="B63" s="118"/>
      <c r="C63" s="42"/>
      <c r="D63" s="43"/>
      <c r="E63" s="42"/>
      <c r="F63" s="43"/>
      <c r="G63" s="42"/>
      <c r="H63" s="43"/>
      <c r="I63" s="42"/>
      <c r="J63" s="43"/>
      <c r="K63" s="42"/>
      <c r="L63" s="43"/>
      <c r="M63" s="37"/>
      <c r="N63" s="37"/>
    </row>
    <row r="64" spans="1:14" ht="14.25" thickTop="1" thickBot="1">
      <c r="A64" s="41"/>
      <c r="B64" s="118"/>
      <c r="C64" s="42"/>
      <c r="D64" s="43"/>
      <c r="E64" s="42"/>
      <c r="F64" s="43"/>
      <c r="G64" s="42"/>
      <c r="H64" s="43"/>
      <c r="I64" s="42"/>
      <c r="J64" s="43"/>
      <c r="K64" s="42"/>
      <c r="L64" s="43"/>
      <c r="M64" s="37"/>
      <c r="N64" s="37"/>
    </row>
    <row r="65" spans="1:14" s="36" customFormat="1" ht="14.25" thickTop="1" thickBot="1">
      <c r="A65" s="37"/>
      <c r="B65" s="117"/>
      <c r="C65" s="39"/>
      <c r="D65" s="40"/>
      <c r="E65" s="39"/>
      <c r="F65" s="40"/>
      <c r="G65" s="39"/>
      <c r="H65" s="40"/>
      <c r="I65" s="39"/>
      <c r="J65" s="40"/>
      <c r="K65" s="39"/>
      <c r="L65" s="40"/>
      <c r="M65" s="37"/>
      <c r="N65" s="37"/>
    </row>
    <row r="66" spans="1:14" ht="14.25" thickTop="1" thickBot="1">
      <c r="A66" s="41"/>
      <c r="B66" s="118"/>
      <c r="C66" s="42"/>
      <c r="D66" s="43"/>
      <c r="E66" s="42"/>
      <c r="F66" s="43"/>
      <c r="G66" s="42"/>
      <c r="H66" s="43"/>
      <c r="I66" s="42"/>
      <c r="J66" s="43"/>
      <c r="K66" s="42"/>
      <c r="L66" s="43"/>
      <c r="M66" s="37"/>
      <c r="N66" s="37"/>
    </row>
    <row r="67" spans="1:14" ht="14.25" thickTop="1" thickBot="1">
      <c r="A67" s="41"/>
      <c r="B67" s="118"/>
      <c r="C67" s="42"/>
      <c r="D67" s="43"/>
      <c r="E67" s="42"/>
      <c r="F67" s="43"/>
      <c r="G67" s="42"/>
      <c r="H67" s="43"/>
      <c r="I67" s="42"/>
      <c r="J67" s="43"/>
      <c r="K67" s="42"/>
      <c r="L67" s="43"/>
      <c r="M67" s="37"/>
      <c r="N67" s="37"/>
    </row>
    <row r="68" spans="1:14" ht="14.25" thickTop="1" thickBot="1">
      <c r="A68" s="41"/>
      <c r="B68" s="118"/>
      <c r="C68" s="42"/>
      <c r="D68" s="43"/>
      <c r="E68" s="42"/>
      <c r="F68" s="43"/>
      <c r="G68" s="42"/>
      <c r="H68" s="43"/>
      <c r="I68" s="42"/>
      <c r="J68" s="43"/>
      <c r="K68" s="42"/>
      <c r="L68" s="43"/>
      <c r="M68" s="37"/>
      <c r="N68" s="37"/>
    </row>
    <row r="69" spans="1:14" ht="14.25" thickTop="1" thickBot="1">
      <c r="A69" s="41"/>
      <c r="B69" s="118"/>
      <c r="C69" s="42"/>
      <c r="D69" s="43"/>
      <c r="E69" s="42"/>
      <c r="F69" s="43"/>
      <c r="G69" s="42"/>
      <c r="H69" s="43"/>
      <c r="I69" s="42"/>
      <c r="J69" s="43"/>
      <c r="K69" s="42"/>
      <c r="L69" s="43"/>
      <c r="M69" s="37"/>
      <c r="N69" s="37"/>
    </row>
    <row r="70" spans="1:14" ht="14.25" thickTop="1" thickBot="1">
      <c r="A70" s="41"/>
      <c r="B70" s="118"/>
      <c r="C70" s="42"/>
      <c r="D70" s="43"/>
      <c r="E70" s="42"/>
      <c r="F70" s="43"/>
      <c r="G70" s="42"/>
      <c r="H70" s="43"/>
      <c r="I70" s="42"/>
      <c r="J70" s="43"/>
      <c r="K70" s="42"/>
      <c r="L70" s="43"/>
      <c r="M70" s="37"/>
      <c r="N70" s="37"/>
    </row>
    <row r="71" spans="1:14" ht="14.25" thickTop="1" thickBot="1">
      <c r="A71" s="41"/>
      <c r="B71" s="118"/>
      <c r="C71" s="42"/>
      <c r="D71" s="43"/>
      <c r="E71" s="42"/>
      <c r="F71" s="43"/>
      <c r="G71" s="42"/>
      <c r="H71" s="43"/>
      <c r="I71" s="42"/>
      <c r="J71" s="43"/>
      <c r="K71" s="42"/>
      <c r="L71" s="43"/>
      <c r="M71" s="37"/>
      <c r="N71" s="37"/>
    </row>
    <row r="72" spans="1:14" s="36" customFormat="1" ht="14.25" thickTop="1" thickBot="1">
      <c r="A72" s="37"/>
      <c r="B72" s="117"/>
      <c r="C72" s="39"/>
      <c r="D72" s="40"/>
      <c r="E72" s="39"/>
      <c r="F72" s="40"/>
      <c r="G72" s="39"/>
      <c r="H72" s="40"/>
      <c r="I72" s="39"/>
      <c r="J72" s="40"/>
      <c r="K72" s="39"/>
      <c r="L72" s="40"/>
      <c r="M72" s="37"/>
      <c r="N72" s="37"/>
    </row>
    <row r="73" spans="1:14" ht="14.25" thickTop="1" thickBot="1">
      <c r="A73" s="41"/>
      <c r="B73" s="118"/>
      <c r="C73" s="42"/>
      <c r="D73" s="43"/>
      <c r="E73" s="42"/>
      <c r="F73" s="43"/>
      <c r="G73" s="42"/>
      <c r="H73" s="43"/>
      <c r="I73" s="42"/>
      <c r="J73" s="43"/>
      <c r="K73" s="42"/>
      <c r="L73" s="43"/>
      <c r="M73" s="37"/>
      <c r="N73" s="37"/>
    </row>
    <row r="74" spans="1:14" ht="14.25" thickTop="1" thickBot="1">
      <c r="A74" s="41"/>
      <c r="B74" s="118"/>
      <c r="C74" s="42"/>
      <c r="D74" s="43"/>
      <c r="E74" s="42"/>
      <c r="F74" s="43"/>
      <c r="G74" s="42"/>
      <c r="H74" s="43"/>
      <c r="I74" s="42"/>
      <c r="J74" s="43"/>
      <c r="K74" s="42"/>
      <c r="L74" s="43"/>
      <c r="M74" s="37"/>
      <c r="N74" s="37"/>
    </row>
    <row r="75" spans="1:14" ht="14.25" thickTop="1" thickBot="1">
      <c r="A75" s="41"/>
      <c r="B75" s="118"/>
      <c r="C75" s="42"/>
      <c r="D75" s="43"/>
      <c r="E75" s="42"/>
      <c r="F75" s="43"/>
      <c r="G75" s="42"/>
      <c r="H75" s="43"/>
      <c r="I75" s="42"/>
      <c r="J75" s="43"/>
      <c r="K75" s="42"/>
      <c r="L75" s="43"/>
      <c r="M75" s="37"/>
      <c r="N75" s="37"/>
    </row>
    <row r="76" spans="1:14" ht="14.25" thickTop="1" thickBot="1">
      <c r="A76" s="41"/>
      <c r="B76" s="118"/>
      <c r="C76" s="42"/>
      <c r="D76" s="43"/>
      <c r="E76" s="42"/>
      <c r="F76" s="43"/>
      <c r="G76" s="42"/>
      <c r="H76" s="43"/>
      <c r="I76" s="42"/>
      <c r="J76" s="43"/>
      <c r="K76" s="42"/>
      <c r="L76" s="43"/>
      <c r="M76" s="37"/>
      <c r="N76" s="37"/>
    </row>
    <row r="77" spans="1:14" ht="14.25" thickTop="1" thickBot="1">
      <c r="A77" s="41"/>
      <c r="B77" s="118"/>
      <c r="C77" s="42"/>
      <c r="D77" s="43"/>
      <c r="E77" s="42"/>
      <c r="F77" s="43"/>
      <c r="G77" s="42"/>
      <c r="H77" s="43"/>
      <c r="I77" s="42"/>
      <c r="J77" s="43"/>
      <c r="K77" s="42"/>
      <c r="L77" s="43"/>
      <c r="M77" s="37"/>
      <c r="N77" s="37"/>
    </row>
    <row r="78" spans="1:14" ht="14.25" thickTop="1" thickBot="1">
      <c r="A78" s="41"/>
      <c r="B78" s="118"/>
      <c r="C78" s="42"/>
      <c r="D78" s="43"/>
      <c r="E78" s="42"/>
      <c r="F78" s="43"/>
      <c r="G78" s="42"/>
      <c r="H78" s="43"/>
      <c r="I78" s="42"/>
      <c r="J78" s="43"/>
      <c r="K78" s="42"/>
      <c r="L78" s="43"/>
      <c r="M78" s="37"/>
      <c r="N78" s="37"/>
    </row>
    <row r="79" spans="1:14" s="36" customFormat="1" ht="14.25" thickTop="1" thickBot="1">
      <c r="A79" s="37"/>
      <c r="B79" s="117"/>
      <c r="C79" s="39"/>
      <c r="D79" s="40"/>
      <c r="E79" s="39"/>
      <c r="F79" s="40"/>
      <c r="G79" s="39"/>
      <c r="H79" s="40"/>
      <c r="I79" s="39"/>
      <c r="J79" s="40"/>
      <c r="K79" s="39"/>
      <c r="L79" s="40"/>
      <c r="M79" s="37"/>
      <c r="N79" s="37"/>
    </row>
    <row r="80" spans="1:14" ht="14.25" thickTop="1" thickBot="1">
      <c r="A80" s="41"/>
      <c r="B80" s="118"/>
      <c r="C80" s="42"/>
      <c r="D80" s="43"/>
      <c r="E80" s="42"/>
      <c r="F80" s="43"/>
      <c r="G80" s="42"/>
      <c r="H80" s="43"/>
      <c r="I80" s="42"/>
      <c r="J80" s="43"/>
      <c r="K80" s="42"/>
      <c r="L80" s="43"/>
      <c r="M80" s="37"/>
      <c r="N80" s="37"/>
    </row>
    <row r="81" spans="1:14" ht="14.25" thickTop="1" thickBot="1">
      <c r="A81" s="41"/>
      <c r="B81" s="118"/>
      <c r="C81" s="42"/>
      <c r="D81" s="43"/>
      <c r="E81" s="42"/>
      <c r="F81" s="43"/>
      <c r="G81" s="42"/>
      <c r="H81" s="43"/>
      <c r="I81" s="42"/>
      <c r="J81" s="43"/>
      <c r="K81" s="42"/>
      <c r="L81" s="43"/>
      <c r="M81" s="37"/>
      <c r="N81" s="37"/>
    </row>
    <row r="82" spans="1:14" ht="14.25" thickTop="1" thickBot="1">
      <c r="A82" s="41"/>
      <c r="B82" s="118"/>
      <c r="C82" s="42"/>
      <c r="D82" s="43"/>
      <c r="E82" s="42"/>
      <c r="F82" s="43"/>
      <c r="G82" s="42"/>
      <c r="H82" s="43"/>
      <c r="I82" s="42"/>
      <c r="J82" s="43"/>
      <c r="K82" s="42"/>
      <c r="L82" s="43"/>
      <c r="M82" s="37"/>
      <c r="N82" s="37"/>
    </row>
    <row r="83" spans="1:14" ht="14.25" thickTop="1" thickBot="1">
      <c r="A83" s="41"/>
      <c r="B83" s="118"/>
      <c r="C83" s="42"/>
      <c r="D83" s="43"/>
      <c r="E83" s="42"/>
      <c r="F83" s="43"/>
      <c r="G83" s="42"/>
      <c r="H83" s="43"/>
      <c r="I83" s="42"/>
      <c r="J83" s="43"/>
      <c r="K83" s="42"/>
      <c r="L83" s="43"/>
      <c r="M83" s="37"/>
      <c r="N83" s="37"/>
    </row>
    <row r="84" spans="1:14" ht="14.25" thickTop="1" thickBot="1">
      <c r="A84" s="41"/>
      <c r="B84" s="118"/>
      <c r="C84" s="42"/>
      <c r="D84" s="43"/>
      <c r="E84" s="42"/>
      <c r="F84" s="43"/>
      <c r="G84" s="42"/>
      <c r="H84" s="43"/>
      <c r="I84" s="42"/>
      <c r="J84" s="43"/>
      <c r="K84" s="42"/>
      <c r="L84" s="43"/>
      <c r="M84" s="37"/>
      <c r="N84" s="37"/>
    </row>
    <row r="85" spans="1:14" ht="14.25" thickTop="1" thickBot="1">
      <c r="A85" s="41"/>
      <c r="B85" s="118"/>
      <c r="C85" s="42"/>
      <c r="D85" s="43"/>
      <c r="E85" s="42"/>
      <c r="F85" s="43"/>
      <c r="G85" s="42"/>
      <c r="H85" s="43"/>
      <c r="I85" s="42"/>
      <c r="J85" s="43"/>
      <c r="K85" s="42"/>
      <c r="L85" s="43"/>
      <c r="M85" s="37"/>
      <c r="N85" s="37"/>
    </row>
    <row r="86" spans="1:14" s="36" customFormat="1" ht="14.25" thickTop="1" thickBot="1">
      <c r="A86" s="37"/>
      <c r="B86" s="117"/>
      <c r="C86" s="39"/>
      <c r="D86" s="40"/>
      <c r="E86" s="39"/>
      <c r="F86" s="40"/>
      <c r="G86" s="39"/>
      <c r="H86" s="40"/>
      <c r="I86" s="39"/>
      <c r="J86" s="40"/>
      <c r="K86" s="39"/>
      <c r="L86" s="40"/>
      <c r="M86" s="37"/>
      <c r="N86" s="37"/>
    </row>
    <row r="87" spans="1:14" ht="14.25" thickTop="1" thickBot="1">
      <c r="A87" s="41"/>
      <c r="B87" s="118"/>
      <c r="C87" s="42"/>
      <c r="D87" s="43"/>
      <c r="E87" s="42"/>
      <c r="F87" s="43"/>
      <c r="G87" s="42"/>
      <c r="H87" s="43"/>
      <c r="I87" s="42"/>
      <c r="J87" s="43"/>
      <c r="K87" s="42"/>
      <c r="L87" s="43"/>
      <c r="M87" s="37"/>
      <c r="N87" s="37"/>
    </row>
    <row r="88" spans="1:14" ht="14.25" thickTop="1" thickBot="1">
      <c r="A88" s="41"/>
      <c r="B88" s="118"/>
      <c r="C88" s="42"/>
      <c r="D88" s="43"/>
      <c r="E88" s="42"/>
      <c r="F88" s="43"/>
      <c r="G88" s="42"/>
      <c r="H88" s="43"/>
      <c r="I88" s="42"/>
      <c r="J88" s="43"/>
      <c r="K88" s="42"/>
      <c r="L88" s="43"/>
      <c r="M88" s="37"/>
      <c r="N88" s="37"/>
    </row>
    <row r="89" spans="1:14" ht="14.25" thickTop="1" thickBot="1">
      <c r="A89" s="41"/>
      <c r="B89" s="118"/>
      <c r="C89" s="42"/>
      <c r="D89" s="43"/>
      <c r="E89" s="42"/>
      <c r="F89" s="43"/>
      <c r="G89" s="42"/>
      <c r="H89" s="43"/>
      <c r="I89" s="42"/>
      <c r="J89" s="43"/>
      <c r="K89" s="42"/>
      <c r="L89" s="43"/>
      <c r="M89" s="37"/>
      <c r="N89" s="37"/>
    </row>
    <row r="90" spans="1:14" ht="14.25" thickTop="1" thickBot="1">
      <c r="A90" s="41"/>
      <c r="B90" s="118"/>
      <c r="C90" s="42"/>
      <c r="D90" s="43"/>
      <c r="E90" s="42"/>
      <c r="F90" s="43"/>
      <c r="G90" s="42"/>
      <c r="H90" s="43"/>
      <c r="I90" s="42"/>
      <c r="J90" s="43"/>
      <c r="K90" s="42"/>
      <c r="L90" s="43"/>
      <c r="M90" s="37"/>
      <c r="N90" s="37"/>
    </row>
    <row r="91" spans="1:14" ht="14.25" thickTop="1" thickBot="1">
      <c r="A91" s="41"/>
      <c r="B91" s="118"/>
      <c r="C91" s="42"/>
      <c r="D91" s="43"/>
      <c r="E91" s="42"/>
      <c r="F91" s="43"/>
      <c r="G91" s="42"/>
      <c r="H91" s="43"/>
      <c r="I91" s="42"/>
      <c r="J91" s="43"/>
      <c r="K91" s="42"/>
      <c r="L91" s="43"/>
      <c r="M91" s="37"/>
      <c r="N91" s="37"/>
    </row>
    <row r="92" spans="1:14" ht="14.25" thickTop="1" thickBot="1">
      <c r="A92" s="41"/>
      <c r="B92" s="118"/>
      <c r="C92" s="42"/>
      <c r="D92" s="43"/>
      <c r="E92" s="42"/>
      <c r="F92" s="43"/>
      <c r="G92" s="42"/>
      <c r="H92" s="43"/>
      <c r="I92" s="42"/>
      <c r="J92" s="43"/>
      <c r="K92" s="42"/>
      <c r="L92" s="43"/>
      <c r="M92" s="37"/>
      <c r="N92" s="37"/>
    </row>
    <row r="93" spans="1:14" s="36" customFormat="1" ht="14.25" thickTop="1" thickBot="1">
      <c r="A93" s="37"/>
      <c r="B93" s="117"/>
      <c r="C93" s="39"/>
      <c r="D93" s="40"/>
      <c r="E93" s="39"/>
      <c r="F93" s="40"/>
      <c r="G93" s="39"/>
      <c r="H93" s="40"/>
      <c r="I93" s="39"/>
      <c r="J93" s="40"/>
      <c r="K93" s="39"/>
      <c r="L93" s="40"/>
      <c r="M93" s="37"/>
      <c r="N93" s="37"/>
    </row>
    <row r="94" spans="1:14" ht="14.25" thickTop="1" thickBot="1">
      <c r="A94" s="41"/>
      <c r="B94" s="118"/>
      <c r="C94" s="42"/>
      <c r="D94" s="43"/>
      <c r="E94" s="42"/>
      <c r="F94" s="43"/>
      <c r="G94" s="42"/>
      <c r="H94" s="43"/>
      <c r="I94" s="42"/>
      <c r="J94" s="43"/>
      <c r="K94" s="42"/>
      <c r="L94" s="43"/>
      <c r="M94" s="37"/>
      <c r="N94" s="37"/>
    </row>
    <row r="95" spans="1:14" ht="14.25" thickTop="1" thickBot="1">
      <c r="A95" s="41"/>
      <c r="B95" s="118"/>
      <c r="C95" s="42"/>
      <c r="D95" s="43"/>
      <c r="E95" s="42"/>
      <c r="F95" s="43"/>
      <c r="G95" s="42"/>
      <c r="H95" s="43"/>
      <c r="I95" s="42"/>
      <c r="J95" s="43"/>
      <c r="K95" s="42"/>
      <c r="L95" s="43"/>
      <c r="M95" s="37"/>
      <c r="N95" s="37"/>
    </row>
    <row r="96" spans="1:14" ht="14.25" thickTop="1" thickBot="1">
      <c r="A96" s="41"/>
      <c r="B96" s="118"/>
      <c r="C96" s="42"/>
      <c r="D96" s="43"/>
      <c r="E96" s="42"/>
      <c r="F96" s="43"/>
      <c r="G96" s="42"/>
      <c r="H96" s="43"/>
      <c r="I96" s="42"/>
      <c r="J96" s="43"/>
      <c r="K96" s="42"/>
      <c r="L96" s="43"/>
      <c r="M96" s="37"/>
      <c r="N96" s="37"/>
    </row>
    <row r="97" spans="1:14" ht="14.25" thickTop="1" thickBot="1">
      <c r="A97" s="41"/>
      <c r="B97" s="118"/>
      <c r="C97" s="42"/>
      <c r="D97" s="43"/>
      <c r="E97" s="42"/>
      <c r="F97" s="43"/>
      <c r="G97" s="42"/>
      <c r="H97" s="43"/>
      <c r="I97" s="42"/>
      <c r="J97" s="43"/>
      <c r="K97" s="42"/>
      <c r="L97" s="43"/>
      <c r="M97" s="37"/>
      <c r="N97" s="37"/>
    </row>
    <row r="98" spans="1:14" ht="14.25" thickTop="1" thickBot="1">
      <c r="A98" s="41"/>
      <c r="B98" s="118"/>
      <c r="C98" s="42"/>
      <c r="D98" s="43"/>
      <c r="E98" s="42"/>
      <c r="F98" s="43"/>
      <c r="G98" s="42"/>
      <c r="H98" s="43"/>
      <c r="I98" s="42"/>
      <c r="J98" s="43"/>
      <c r="K98" s="42"/>
      <c r="L98" s="43"/>
      <c r="M98" s="37"/>
      <c r="N98" s="37"/>
    </row>
    <row r="99" spans="1:14" ht="14.25" thickTop="1" thickBot="1">
      <c r="A99" s="41"/>
      <c r="B99" s="118"/>
      <c r="C99" s="42"/>
      <c r="D99" s="43"/>
      <c r="E99" s="42"/>
      <c r="F99" s="43"/>
      <c r="G99" s="42"/>
      <c r="H99" s="43"/>
      <c r="I99" s="42"/>
      <c r="J99" s="43"/>
      <c r="K99" s="42"/>
      <c r="L99" s="43"/>
      <c r="M99" s="37"/>
      <c r="N99" s="37"/>
    </row>
    <row r="100" spans="1:14" s="36" customFormat="1" ht="14.25" thickTop="1" thickBot="1">
      <c r="A100" s="37"/>
      <c r="B100" s="117"/>
      <c r="C100" s="39"/>
      <c r="D100" s="40"/>
      <c r="E100" s="39"/>
      <c r="F100" s="40"/>
      <c r="G100" s="39"/>
      <c r="H100" s="40"/>
      <c r="I100" s="39"/>
      <c r="J100" s="40"/>
      <c r="K100" s="39"/>
      <c r="L100" s="40"/>
      <c r="M100" s="37"/>
      <c r="N100" s="37"/>
    </row>
    <row r="101" spans="1:14" ht="14.25" thickTop="1" thickBot="1">
      <c r="A101" s="41"/>
      <c r="B101" s="118"/>
      <c r="C101" s="42"/>
      <c r="D101" s="43"/>
      <c r="E101" s="42"/>
      <c r="F101" s="43"/>
      <c r="G101" s="42"/>
      <c r="H101" s="43"/>
      <c r="I101" s="42"/>
      <c r="J101" s="43"/>
      <c r="K101" s="42"/>
      <c r="L101" s="43"/>
      <c r="M101" s="37"/>
      <c r="N101" s="37"/>
    </row>
    <row r="102" spans="1:14" ht="14.25" thickTop="1" thickBot="1">
      <c r="A102" s="41"/>
      <c r="B102" s="118"/>
      <c r="C102" s="42"/>
      <c r="D102" s="43"/>
      <c r="E102" s="42"/>
      <c r="F102" s="43"/>
      <c r="G102" s="42"/>
      <c r="H102" s="43"/>
      <c r="I102" s="42"/>
      <c r="J102" s="43"/>
      <c r="K102" s="42"/>
      <c r="L102" s="43"/>
      <c r="M102" s="37"/>
      <c r="N102" s="37"/>
    </row>
    <row r="103" spans="1:14" ht="14.25" thickTop="1" thickBot="1">
      <c r="A103" s="41"/>
      <c r="B103" s="118"/>
      <c r="C103" s="42"/>
      <c r="D103" s="43"/>
      <c r="E103" s="42"/>
      <c r="F103" s="43"/>
      <c r="G103" s="42"/>
      <c r="H103" s="43"/>
      <c r="I103" s="42"/>
      <c r="J103" s="43"/>
      <c r="K103" s="42"/>
      <c r="L103" s="43"/>
      <c r="M103" s="37"/>
      <c r="N103" s="37"/>
    </row>
    <row r="104" spans="1:14" ht="14.25" thickTop="1" thickBot="1">
      <c r="A104" s="41"/>
      <c r="B104" s="118"/>
      <c r="C104" s="42"/>
      <c r="D104" s="43"/>
      <c r="E104" s="42"/>
      <c r="F104" s="43"/>
      <c r="G104" s="42"/>
      <c r="H104" s="43"/>
      <c r="I104" s="42"/>
      <c r="J104" s="43"/>
      <c r="K104" s="42"/>
      <c r="L104" s="43"/>
      <c r="M104" s="37"/>
      <c r="N104" s="37"/>
    </row>
    <row r="105" spans="1:14" ht="14.25" thickTop="1" thickBot="1">
      <c r="A105" s="41"/>
      <c r="B105" s="118"/>
      <c r="C105" s="42"/>
      <c r="D105" s="43"/>
      <c r="E105" s="42"/>
      <c r="F105" s="43"/>
      <c r="G105" s="42"/>
      <c r="H105" s="43"/>
      <c r="I105" s="42"/>
      <c r="J105" s="43"/>
      <c r="K105" s="42"/>
      <c r="L105" s="43"/>
      <c r="M105" s="37"/>
      <c r="N105" s="37"/>
    </row>
    <row r="106" spans="1:14" ht="14.25" thickTop="1" thickBot="1">
      <c r="A106" s="41"/>
      <c r="B106" s="118"/>
      <c r="C106" s="42"/>
      <c r="D106" s="43"/>
      <c r="E106" s="42"/>
      <c r="F106" s="43"/>
      <c r="G106" s="42"/>
      <c r="H106" s="43"/>
      <c r="I106" s="42"/>
      <c r="J106" s="43"/>
      <c r="K106" s="42"/>
      <c r="L106" s="43"/>
      <c r="M106" s="37"/>
      <c r="N106" s="37"/>
    </row>
    <row r="107" spans="1:14" s="36" customFormat="1" ht="14.25" thickTop="1" thickBot="1">
      <c r="A107" s="37"/>
      <c r="B107" s="117"/>
      <c r="C107" s="39"/>
      <c r="D107" s="40"/>
      <c r="E107" s="39"/>
      <c r="F107" s="40"/>
      <c r="G107" s="39"/>
      <c r="H107" s="40"/>
      <c r="I107" s="39"/>
      <c r="J107" s="40"/>
      <c r="K107" s="39"/>
      <c r="L107" s="40"/>
      <c r="M107" s="37"/>
      <c r="N107" s="37"/>
    </row>
    <row r="108" spans="1:14" ht="14.25" thickTop="1" thickBot="1">
      <c r="A108" s="41"/>
      <c r="B108" s="118"/>
      <c r="C108" s="42"/>
      <c r="D108" s="43"/>
      <c r="E108" s="42"/>
      <c r="F108" s="43"/>
      <c r="G108" s="42"/>
      <c r="H108" s="43"/>
      <c r="I108" s="42"/>
      <c r="J108" s="43"/>
      <c r="K108" s="42"/>
      <c r="L108" s="43"/>
      <c r="M108" s="37"/>
      <c r="N108" s="37"/>
    </row>
    <row r="109" spans="1:14" ht="14.25" thickTop="1" thickBot="1">
      <c r="A109" s="41"/>
      <c r="B109" s="118"/>
      <c r="C109" s="42"/>
      <c r="D109" s="43"/>
      <c r="E109" s="42"/>
      <c r="F109" s="43"/>
      <c r="G109" s="42"/>
      <c r="H109" s="43"/>
      <c r="I109" s="42"/>
      <c r="J109" s="43"/>
      <c r="K109" s="42"/>
      <c r="L109" s="43"/>
      <c r="M109" s="37"/>
      <c r="N109" s="37"/>
    </row>
    <row r="110" spans="1:14" ht="14.25" thickTop="1" thickBot="1">
      <c r="A110" s="41"/>
      <c r="B110" s="118"/>
      <c r="C110" s="42"/>
      <c r="D110" s="43"/>
      <c r="E110" s="42"/>
      <c r="F110" s="43"/>
      <c r="G110" s="42"/>
      <c r="H110" s="43"/>
      <c r="I110" s="42"/>
      <c r="J110" s="43"/>
      <c r="K110" s="42"/>
      <c r="L110" s="43"/>
      <c r="M110" s="37"/>
      <c r="N110" s="37"/>
    </row>
    <row r="111" spans="1:14" ht="14.25" thickTop="1" thickBot="1">
      <c r="A111" s="41"/>
      <c r="B111" s="118"/>
      <c r="C111" s="42"/>
      <c r="D111" s="43"/>
      <c r="E111" s="42"/>
      <c r="F111" s="43"/>
      <c r="G111" s="42"/>
      <c r="H111" s="43"/>
      <c r="I111" s="42"/>
      <c r="J111" s="43"/>
      <c r="K111" s="42"/>
      <c r="L111" s="43"/>
      <c r="M111" s="37"/>
      <c r="N111" s="37"/>
    </row>
    <row r="112" spans="1:14" ht="14.25" thickTop="1" thickBot="1">
      <c r="A112" s="41"/>
      <c r="B112" s="118"/>
      <c r="C112" s="42"/>
      <c r="D112" s="43"/>
      <c r="E112" s="42"/>
      <c r="F112" s="43"/>
      <c r="G112" s="42"/>
      <c r="H112" s="43"/>
      <c r="I112" s="42"/>
      <c r="J112" s="43"/>
      <c r="K112" s="42"/>
      <c r="L112" s="43"/>
      <c r="M112" s="37"/>
      <c r="N112" s="37"/>
    </row>
    <row r="113" spans="1:14" ht="14.25" thickTop="1" thickBot="1">
      <c r="A113" s="41"/>
      <c r="B113" s="118"/>
      <c r="C113" s="42"/>
      <c r="D113" s="43"/>
      <c r="E113" s="42"/>
      <c r="F113" s="43"/>
      <c r="G113" s="42"/>
      <c r="H113" s="43"/>
      <c r="I113" s="42"/>
      <c r="J113" s="43"/>
      <c r="K113" s="42"/>
      <c r="L113" s="43"/>
      <c r="M113" s="37"/>
      <c r="N113" s="37"/>
    </row>
    <row r="114" spans="1:14" s="36" customFormat="1" ht="14.25" thickTop="1" thickBot="1">
      <c r="A114" s="37"/>
      <c r="B114" s="117"/>
      <c r="C114" s="39"/>
      <c r="D114" s="40"/>
      <c r="E114" s="39"/>
      <c r="F114" s="40"/>
      <c r="G114" s="39"/>
      <c r="H114" s="40"/>
      <c r="I114" s="39"/>
      <c r="J114" s="40"/>
      <c r="K114" s="39"/>
      <c r="L114" s="40"/>
      <c r="M114" s="37"/>
      <c r="N114" s="37"/>
    </row>
    <row r="115" spans="1:14" ht="14.25" thickTop="1" thickBot="1">
      <c r="A115" s="41"/>
      <c r="B115" s="118"/>
      <c r="C115" s="42"/>
      <c r="D115" s="43"/>
      <c r="E115" s="42"/>
      <c r="F115" s="43"/>
      <c r="G115" s="42"/>
      <c r="H115" s="43"/>
      <c r="I115" s="42"/>
      <c r="J115" s="43"/>
      <c r="K115" s="42"/>
      <c r="L115" s="43"/>
      <c r="M115" s="37"/>
      <c r="N115" s="37"/>
    </row>
    <row r="116" spans="1:14" ht="14.25" thickTop="1" thickBot="1">
      <c r="A116" s="41"/>
      <c r="B116" s="118"/>
      <c r="C116" s="42"/>
      <c r="D116" s="43"/>
      <c r="E116" s="42"/>
      <c r="F116" s="43"/>
      <c r="G116" s="42"/>
      <c r="H116" s="43"/>
      <c r="I116" s="42"/>
      <c r="J116" s="43"/>
      <c r="K116" s="42"/>
      <c r="L116" s="43"/>
      <c r="M116" s="37"/>
      <c r="N116" s="37"/>
    </row>
    <row r="117" spans="1:14" ht="14.25" thickTop="1" thickBot="1">
      <c r="A117" s="41"/>
      <c r="B117" s="118"/>
      <c r="C117" s="42"/>
      <c r="D117" s="43"/>
      <c r="E117" s="42"/>
      <c r="F117" s="43"/>
      <c r="G117" s="42"/>
      <c r="H117" s="43"/>
      <c r="I117" s="42"/>
      <c r="J117" s="43"/>
      <c r="K117" s="42"/>
      <c r="L117" s="43"/>
      <c r="M117" s="37"/>
      <c r="N117" s="37"/>
    </row>
    <row r="118" spans="1:14" ht="14.25" thickTop="1" thickBot="1">
      <c r="A118" s="41"/>
      <c r="B118" s="118"/>
      <c r="C118" s="42"/>
      <c r="D118" s="43"/>
      <c r="E118" s="42"/>
      <c r="F118" s="43"/>
      <c r="G118" s="42"/>
      <c r="H118" s="43"/>
      <c r="I118" s="42"/>
      <c r="J118" s="43"/>
      <c r="K118" s="42"/>
      <c r="L118" s="43"/>
      <c r="M118" s="37"/>
      <c r="N118" s="37"/>
    </row>
    <row r="119" spans="1:14" ht="14.25" thickTop="1" thickBot="1">
      <c r="A119" s="41"/>
      <c r="B119" s="118"/>
      <c r="C119" s="42"/>
      <c r="D119" s="43"/>
      <c r="E119" s="42"/>
      <c r="F119" s="43"/>
      <c r="G119" s="42"/>
      <c r="H119" s="43"/>
      <c r="I119" s="42"/>
      <c r="J119" s="43"/>
      <c r="K119" s="42"/>
      <c r="L119" s="43"/>
      <c r="M119" s="37"/>
      <c r="N119" s="37"/>
    </row>
    <row r="120" spans="1:14" ht="14.25" thickTop="1" thickBot="1">
      <c r="A120" s="41"/>
      <c r="B120" s="118"/>
      <c r="C120" s="42"/>
      <c r="D120" s="43"/>
      <c r="E120" s="42"/>
      <c r="F120" s="43"/>
      <c r="G120" s="42"/>
      <c r="H120" s="43"/>
      <c r="I120" s="42"/>
      <c r="J120" s="43"/>
      <c r="K120" s="42"/>
      <c r="L120" s="43"/>
      <c r="M120" s="37"/>
      <c r="N120" s="37"/>
    </row>
    <row r="121" spans="1:14" s="36" customFormat="1" ht="14.25" thickTop="1" thickBot="1">
      <c r="A121" s="37"/>
      <c r="B121" s="117"/>
      <c r="C121" s="39"/>
      <c r="D121" s="40"/>
      <c r="E121" s="39"/>
      <c r="F121" s="40"/>
      <c r="G121" s="39"/>
      <c r="H121" s="40"/>
      <c r="I121" s="39"/>
      <c r="J121" s="40"/>
      <c r="K121" s="39"/>
      <c r="L121" s="40"/>
      <c r="M121" s="37"/>
      <c r="N121" s="37"/>
    </row>
    <row r="122" spans="1:14" ht="14.25" thickTop="1" thickBot="1">
      <c r="A122" s="41"/>
      <c r="B122" s="118"/>
      <c r="C122" s="42"/>
      <c r="D122" s="43"/>
      <c r="E122" s="42"/>
      <c r="F122" s="43"/>
      <c r="G122" s="42"/>
      <c r="H122" s="43"/>
      <c r="I122" s="42"/>
      <c r="J122" s="43"/>
      <c r="K122" s="42"/>
      <c r="L122" s="43"/>
      <c r="M122" s="37"/>
      <c r="N122" s="37"/>
    </row>
    <row r="123" spans="1:14" ht="14.25" thickTop="1" thickBot="1">
      <c r="A123" s="41"/>
      <c r="B123" s="118"/>
      <c r="C123" s="42"/>
      <c r="D123" s="43"/>
      <c r="E123" s="42"/>
      <c r="F123" s="43"/>
      <c r="G123" s="42"/>
      <c r="H123" s="43"/>
      <c r="I123" s="42"/>
      <c r="J123" s="43"/>
      <c r="K123" s="42"/>
      <c r="L123" s="43"/>
      <c r="M123" s="37"/>
      <c r="N123" s="37"/>
    </row>
    <row r="124" spans="1:14" ht="14.25" thickTop="1" thickBot="1">
      <c r="A124" s="41"/>
      <c r="B124" s="118"/>
      <c r="C124" s="42"/>
      <c r="D124" s="43"/>
      <c r="E124" s="42"/>
      <c r="F124" s="43"/>
      <c r="G124" s="42"/>
      <c r="H124" s="43"/>
      <c r="I124" s="42"/>
      <c r="J124" s="43"/>
      <c r="K124" s="42"/>
      <c r="L124" s="43"/>
      <c r="M124" s="37"/>
      <c r="N124" s="37"/>
    </row>
    <row r="125" spans="1:14" ht="14.25" thickTop="1" thickBot="1">
      <c r="A125" s="41"/>
      <c r="B125" s="118"/>
      <c r="C125" s="42"/>
      <c r="D125" s="43"/>
      <c r="E125" s="42"/>
      <c r="F125" s="43"/>
      <c r="G125" s="42"/>
      <c r="H125" s="43"/>
      <c r="I125" s="42"/>
      <c r="J125" s="43"/>
      <c r="K125" s="42"/>
      <c r="L125" s="43"/>
      <c r="M125" s="37"/>
      <c r="N125" s="37"/>
    </row>
    <row r="126" spans="1:14" ht="14.25" thickTop="1" thickBot="1">
      <c r="A126" s="41"/>
      <c r="B126" s="118"/>
      <c r="C126" s="42"/>
      <c r="D126" s="43"/>
      <c r="E126" s="42"/>
      <c r="F126" s="43"/>
      <c r="G126" s="42"/>
      <c r="H126" s="43"/>
      <c r="I126" s="42"/>
      <c r="J126" s="43"/>
      <c r="K126" s="42"/>
      <c r="L126" s="43"/>
      <c r="M126" s="37"/>
      <c r="N126" s="37"/>
    </row>
    <row r="127" spans="1:14" ht="14.25" thickTop="1" thickBot="1">
      <c r="A127" s="41"/>
      <c r="B127" s="118"/>
      <c r="C127" s="42"/>
      <c r="D127" s="43"/>
      <c r="E127" s="42"/>
      <c r="F127" s="43"/>
      <c r="G127" s="42"/>
      <c r="H127" s="43"/>
      <c r="I127" s="42"/>
      <c r="J127" s="43"/>
      <c r="K127" s="42"/>
      <c r="L127" s="43"/>
      <c r="M127" s="37"/>
      <c r="N127" s="37"/>
    </row>
    <row r="128" spans="1:14" s="36" customFormat="1" ht="14.25" thickTop="1" thickBot="1">
      <c r="A128" s="37"/>
      <c r="B128" s="117"/>
      <c r="C128" s="39"/>
      <c r="D128" s="40"/>
      <c r="E128" s="39"/>
      <c r="F128" s="40"/>
      <c r="G128" s="39"/>
      <c r="H128" s="40"/>
      <c r="I128" s="39"/>
      <c r="J128" s="40"/>
      <c r="K128" s="39"/>
      <c r="L128" s="40"/>
      <c r="M128" s="37"/>
      <c r="N128" s="37"/>
    </row>
    <row r="129" spans="1:14" ht="14.25" thickTop="1" thickBot="1">
      <c r="A129" s="41"/>
      <c r="B129" s="118"/>
      <c r="C129" s="42"/>
      <c r="D129" s="43"/>
      <c r="E129" s="42"/>
      <c r="F129" s="43"/>
      <c r="G129" s="42"/>
      <c r="H129" s="43"/>
      <c r="I129" s="42"/>
      <c r="J129" s="43"/>
      <c r="K129" s="42"/>
      <c r="L129" s="43"/>
      <c r="M129" s="37"/>
      <c r="N129" s="37"/>
    </row>
    <row r="130" spans="1:14" ht="14.25" thickTop="1" thickBot="1">
      <c r="A130" s="41"/>
      <c r="B130" s="118"/>
      <c r="C130" s="42"/>
      <c r="D130" s="43"/>
      <c r="E130" s="42"/>
      <c r="F130" s="43"/>
      <c r="G130" s="42"/>
      <c r="H130" s="43"/>
      <c r="I130" s="42"/>
      <c r="J130" s="43"/>
      <c r="K130" s="42"/>
      <c r="L130" s="43"/>
      <c r="M130" s="37"/>
      <c r="N130" s="37"/>
    </row>
    <row r="131" spans="1:14" ht="14.25" thickTop="1" thickBot="1">
      <c r="A131" s="41"/>
      <c r="B131" s="118"/>
      <c r="C131" s="42"/>
      <c r="D131" s="43"/>
      <c r="E131" s="42"/>
      <c r="F131" s="43"/>
      <c r="G131" s="42"/>
      <c r="H131" s="43"/>
      <c r="I131" s="42"/>
      <c r="J131" s="43"/>
      <c r="K131" s="42"/>
      <c r="L131" s="43"/>
      <c r="M131" s="37"/>
      <c r="N131" s="37"/>
    </row>
    <row r="132" spans="1:14" ht="14.25" thickTop="1" thickBot="1">
      <c r="A132" s="41"/>
      <c r="B132" s="118"/>
      <c r="C132" s="42"/>
      <c r="D132" s="43"/>
      <c r="E132" s="42"/>
      <c r="F132" s="43"/>
      <c r="G132" s="42"/>
      <c r="H132" s="43"/>
      <c r="I132" s="42"/>
      <c r="J132" s="43"/>
      <c r="K132" s="42"/>
      <c r="L132" s="43"/>
      <c r="M132" s="37"/>
      <c r="N132" s="37"/>
    </row>
    <row r="133" spans="1:14" ht="14.25" thickTop="1" thickBot="1">
      <c r="A133" s="41"/>
      <c r="B133" s="118"/>
      <c r="C133" s="42"/>
      <c r="D133" s="43"/>
      <c r="E133" s="42"/>
      <c r="F133" s="43"/>
      <c r="G133" s="42"/>
      <c r="H133" s="43"/>
      <c r="I133" s="42"/>
      <c r="J133" s="43"/>
      <c r="K133" s="42"/>
      <c r="L133" s="43"/>
      <c r="M133" s="37"/>
      <c r="N133" s="37"/>
    </row>
    <row r="134" spans="1:14" ht="14.25" thickTop="1" thickBot="1">
      <c r="A134" s="41"/>
      <c r="B134" s="118"/>
      <c r="C134" s="42"/>
      <c r="D134" s="43"/>
      <c r="E134" s="42"/>
      <c r="F134" s="43"/>
      <c r="G134" s="42"/>
      <c r="H134" s="43"/>
      <c r="I134" s="42"/>
      <c r="J134" s="43"/>
      <c r="K134" s="42"/>
      <c r="L134" s="43"/>
      <c r="M134" s="37"/>
      <c r="N134" s="37"/>
    </row>
    <row r="135" spans="1:14" s="36" customFormat="1" ht="14.25" thickTop="1" thickBot="1">
      <c r="A135" s="37"/>
      <c r="B135" s="117"/>
      <c r="C135" s="39"/>
      <c r="D135" s="40"/>
      <c r="E135" s="39"/>
      <c r="F135" s="40"/>
      <c r="G135" s="39"/>
      <c r="H135" s="40"/>
      <c r="I135" s="39"/>
      <c r="J135" s="40"/>
      <c r="K135" s="39"/>
      <c r="L135" s="40"/>
      <c r="M135" s="37"/>
      <c r="N135" s="37"/>
    </row>
    <row r="136" spans="1:14" ht="14.25" thickTop="1" thickBot="1">
      <c r="A136" s="41"/>
      <c r="B136" s="118"/>
      <c r="C136" s="42"/>
      <c r="D136" s="43"/>
      <c r="E136" s="42"/>
      <c r="F136" s="43"/>
      <c r="G136" s="42"/>
      <c r="H136" s="43"/>
      <c r="I136" s="42"/>
      <c r="J136" s="43"/>
      <c r="K136" s="42"/>
      <c r="L136" s="43"/>
      <c r="M136" s="37"/>
      <c r="N136" s="37"/>
    </row>
    <row r="137" spans="1:14" ht="14.25" thickTop="1" thickBot="1">
      <c r="A137" s="41"/>
      <c r="B137" s="118"/>
      <c r="C137" s="42"/>
      <c r="D137" s="43"/>
      <c r="E137" s="42"/>
      <c r="F137" s="43"/>
      <c r="G137" s="42"/>
      <c r="H137" s="43"/>
      <c r="I137" s="42"/>
      <c r="J137" s="43"/>
      <c r="K137" s="42"/>
      <c r="L137" s="43"/>
      <c r="M137" s="37"/>
      <c r="N137" s="37"/>
    </row>
    <row r="138" spans="1:14" ht="14.25" thickTop="1" thickBot="1">
      <c r="A138" s="41"/>
      <c r="B138" s="118"/>
      <c r="C138" s="42"/>
      <c r="D138" s="43"/>
      <c r="E138" s="42"/>
      <c r="F138" s="43"/>
      <c r="G138" s="42"/>
      <c r="H138" s="43"/>
      <c r="I138" s="42"/>
      <c r="J138" s="43"/>
      <c r="K138" s="42"/>
      <c r="L138" s="43"/>
      <c r="M138" s="37"/>
      <c r="N138" s="37"/>
    </row>
    <row r="139" spans="1:14" ht="14.25" thickTop="1" thickBot="1">
      <c r="A139" s="41"/>
      <c r="B139" s="118"/>
      <c r="C139" s="42"/>
      <c r="D139" s="43"/>
      <c r="E139" s="42"/>
      <c r="F139" s="43"/>
      <c r="G139" s="42"/>
      <c r="H139" s="43"/>
      <c r="I139" s="42"/>
      <c r="J139" s="43"/>
      <c r="K139" s="42"/>
      <c r="L139" s="43"/>
      <c r="M139" s="37"/>
      <c r="N139" s="37"/>
    </row>
    <row r="140" spans="1:14" ht="14.25" thickTop="1" thickBot="1">
      <c r="A140" s="41"/>
      <c r="B140" s="118"/>
      <c r="C140" s="42"/>
      <c r="D140" s="43"/>
      <c r="E140" s="42"/>
      <c r="F140" s="43"/>
      <c r="G140" s="42"/>
      <c r="H140" s="43"/>
      <c r="I140" s="42"/>
      <c r="J140" s="43"/>
      <c r="K140" s="42"/>
      <c r="L140" s="43"/>
      <c r="M140" s="37"/>
      <c r="N140" s="37"/>
    </row>
    <row r="141" spans="1:14" ht="14.25" thickTop="1" thickBot="1">
      <c r="A141" s="41"/>
      <c r="B141" s="118"/>
      <c r="C141" s="42"/>
      <c r="D141" s="43"/>
      <c r="E141" s="42"/>
      <c r="F141" s="43"/>
      <c r="G141" s="42"/>
      <c r="H141" s="43"/>
      <c r="I141" s="42"/>
      <c r="J141" s="43"/>
      <c r="K141" s="42"/>
      <c r="L141" s="43"/>
      <c r="M141" s="37"/>
      <c r="N141" s="37"/>
    </row>
    <row r="142" spans="1:14" s="36" customFormat="1" ht="14.25" thickTop="1" thickBot="1">
      <c r="A142" s="37"/>
      <c r="B142" s="117"/>
      <c r="C142" s="39"/>
      <c r="D142" s="40"/>
      <c r="E142" s="39"/>
      <c r="F142" s="40"/>
      <c r="G142" s="39"/>
      <c r="H142" s="40"/>
      <c r="I142" s="39"/>
      <c r="J142" s="40"/>
      <c r="K142" s="39"/>
      <c r="L142" s="40"/>
      <c r="M142" s="37"/>
      <c r="N142" s="37"/>
    </row>
    <row r="143" spans="1:14" ht="14.25" thickTop="1" thickBot="1">
      <c r="A143" s="41"/>
      <c r="B143" s="118"/>
      <c r="C143" s="42"/>
      <c r="D143" s="43"/>
      <c r="E143" s="42"/>
      <c r="F143" s="43"/>
      <c r="G143" s="42"/>
      <c r="H143" s="43"/>
      <c r="I143" s="42"/>
      <c r="J143" s="43"/>
      <c r="K143" s="42"/>
      <c r="L143" s="43"/>
      <c r="M143" s="37"/>
      <c r="N143" s="37"/>
    </row>
    <row r="144" spans="1:14" ht="14.25" thickTop="1" thickBot="1">
      <c r="A144" s="41"/>
      <c r="B144" s="118"/>
      <c r="C144" s="42"/>
      <c r="D144" s="43"/>
      <c r="E144" s="42"/>
      <c r="F144" s="43"/>
      <c r="G144" s="42"/>
      <c r="H144" s="43"/>
      <c r="I144" s="42"/>
      <c r="J144" s="43"/>
      <c r="K144" s="42"/>
      <c r="L144" s="43"/>
      <c r="M144" s="37"/>
      <c r="N144" s="37"/>
    </row>
    <row r="145" spans="1:14" ht="14.25" thickTop="1" thickBot="1">
      <c r="A145" s="41"/>
      <c r="B145" s="118"/>
      <c r="C145" s="42"/>
      <c r="D145" s="43"/>
      <c r="E145" s="42"/>
      <c r="F145" s="43"/>
      <c r="G145" s="42"/>
      <c r="H145" s="43"/>
      <c r="I145" s="42"/>
      <c r="J145" s="43"/>
      <c r="K145" s="42"/>
      <c r="L145" s="43"/>
      <c r="M145" s="37"/>
      <c r="N145" s="37"/>
    </row>
    <row r="146" spans="1:14" ht="14.25" thickTop="1" thickBot="1">
      <c r="A146" s="41"/>
      <c r="B146" s="118"/>
      <c r="C146" s="42"/>
      <c r="D146" s="43"/>
      <c r="E146" s="42"/>
      <c r="F146" s="43"/>
      <c r="G146" s="42"/>
      <c r="H146" s="43"/>
      <c r="I146" s="42"/>
      <c r="J146" s="43"/>
      <c r="K146" s="42"/>
      <c r="L146" s="43"/>
      <c r="M146" s="37"/>
      <c r="N146" s="37"/>
    </row>
    <row r="147" spans="1:14" ht="14.25" thickTop="1" thickBot="1">
      <c r="A147" s="41"/>
      <c r="B147" s="118"/>
      <c r="C147" s="42"/>
      <c r="D147" s="43"/>
      <c r="E147" s="42"/>
      <c r="F147" s="43"/>
      <c r="G147" s="42"/>
      <c r="H147" s="43"/>
      <c r="I147" s="42"/>
      <c r="J147" s="43"/>
      <c r="K147" s="42"/>
      <c r="L147" s="43"/>
      <c r="M147" s="37"/>
      <c r="N147" s="37"/>
    </row>
    <row r="148" spans="1:14" ht="14.25" thickTop="1" thickBot="1">
      <c r="A148" s="41"/>
      <c r="B148" s="118"/>
      <c r="C148" s="42"/>
      <c r="D148" s="43"/>
      <c r="E148" s="42"/>
      <c r="F148" s="43"/>
      <c r="G148" s="42"/>
      <c r="H148" s="43"/>
      <c r="I148" s="42"/>
      <c r="J148" s="43"/>
      <c r="K148" s="42"/>
      <c r="L148" s="43"/>
      <c r="M148" s="37"/>
      <c r="N148" s="37"/>
    </row>
    <row r="149" spans="1:14" s="36" customFormat="1" ht="14.25" thickTop="1" thickBot="1">
      <c r="A149" s="37"/>
      <c r="B149" s="117"/>
      <c r="C149" s="39"/>
      <c r="D149" s="40"/>
      <c r="E149" s="39"/>
      <c r="F149" s="40"/>
      <c r="G149" s="39"/>
      <c r="H149" s="40"/>
      <c r="I149" s="39"/>
      <c r="J149" s="40"/>
      <c r="K149" s="39"/>
      <c r="L149" s="40"/>
      <c r="M149" s="37"/>
      <c r="N149" s="37"/>
    </row>
    <row r="150" spans="1:14" ht="14.25" thickTop="1" thickBot="1">
      <c r="A150" s="41"/>
      <c r="B150" s="118"/>
      <c r="C150" s="42"/>
      <c r="D150" s="43"/>
      <c r="E150" s="42"/>
      <c r="F150" s="43"/>
      <c r="G150" s="42"/>
      <c r="H150" s="43"/>
      <c r="I150" s="42"/>
      <c r="J150" s="43"/>
      <c r="K150" s="42"/>
      <c r="L150" s="43"/>
      <c r="M150" s="37"/>
      <c r="N150" s="37"/>
    </row>
    <row r="151" spans="1:14" ht="14.25" thickTop="1" thickBot="1">
      <c r="A151" s="41"/>
      <c r="B151" s="118"/>
      <c r="C151" s="42"/>
      <c r="D151" s="43"/>
      <c r="E151" s="42"/>
      <c r="F151" s="43"/>
      <c r="G151" s="42"/>
      <c r="H151" s="43"/>
      <c r="I151" s="42"/>
      <c r="J151" s="43"/>
      <c r="K151" s="42"/>
      <c r="L151" s="43"/>
      <c r="M151" s="37"/>
      <c r="N151" s="37"/>
    </row>
    <row r="152" spans="1:14" ht="14.25" thickTop="1" thickBot="1">
      <c r="A152" s="41"/>
      <c r="B152" s="118"/>
      <c r="C152" s="42"/>
      <c r="D152" s="43"/>
      <c r="E152" s="42"/>
      <c r="F152" s="43"/>
      <c r="G152" s="42"/>
      <c r="H152" s="43"/>
      <c r="I152" s="42"/>
      <c r="J152" s="43"/>
      <c r="K152" s="42"/>
      <c r="L152" s="43"/>
      <c r="M152" s="37"/>
      <c r="N152" s="37"/>
    </row>
    <row r="153" spans="1:14" ht="14.25" thickTop="1" thickBot="1">
      <c r="A153" s="41"/>
      <c r="B153" s="118"/>
      <c r="C153" s="42"/>
      <c r="D153" s="43"/>
      <c r="E153" s="42"/>
      <c r="F153" s="43"/>
      <c r="G153" s="42"/>
      <c r="H153" s="43"/>
      <c r="I153" s="42"/>
      <c r="J153" s="43"/>
      <c r="K153" s="42"/>
      <c r="L153" s="43"/>
      <c r="M153" s="37"/>
      <c r="N153" s="37"/>
    </row>
    <row r="154" spans="1:14" ht="14.25" thickTop="1" thickBot="1">
      <c r="A154" s="41"/>
      <c r="B154" s="118"/>
      <c r="C154" s="42"/>
      <c r="D154" s="43"/>
      <c r="E154" s="42"/>
      <c r="F154" s="43"/>
      <c r="G154" s="42"/>
      <c r="H154" s="43"/>
      <c r="I154" s="42"/>
      <c r="J154" s="43"/>
      <c r="K154" s="42"/>
      <c r="L154" s="43"/>
      <c r="M154" s="37"/>
      <c r="N154" s="37"/>
    </row>
    <row r="155" spans="1:14" ht="14.25" thickTop="1" thickBot="1">
      <c r="A155" s="41"/>
      <c r="B155" s="118"/>
      <c r="C155" s="42"/>
      <c r="D155" s="43"/>
      <c r="E155" s="42"/>
      <c r="F155" s="43"/>
      <c r="G155" s="42"/>
      <c r="H155" s="43"/>
      <c r="I155" s="42"/>
      <c r="J155" s="43"/>
      <c r="K155" s="42"/>
      <c r="L155" s="43"/>
      <c r="M155" s="37"/>
      <c r="N155" s="37"/>
    </row>
    <row r="156" spans="1:14" s="36" customFormat="1" ht="14.25" thickTop="1" thickBot="1">
      <c r="A156" s="37"/>
      <c r="B156" s="117"/>
      <c r="C156" s="39"/>
      <c r="D156" s="40"/>
      <c r="E156" s="39"/>
      <c r="F156" s="40"/>
      <c r="G156" s="39"/>
      <c r="H156" s="40"/>
      <c r="I156" s="39"/>
      <c r="J156" s="40"/>
      <c r="K156" s="39"/>
      <c r="L156" s="40"/>
      <c r="M156" s="37"/>
      <c r="N156" s="37"/>
    </row>
    <row r="157" spans="1:14" ht="14.25" thickTop="1" thickBot="1">
      <c r="A157" s="41"/>
      <c r="B157" s="118"/>
      <c r="C157" s="42"/>
      <c r="D157" s="43"/>
      <c r="E157" s="42"/>
      <c r="F157" s="43"/>
      <c r="G157" s="42"/>
      <c r="H157" s="43"/>
      <c r="I157" s="42"/>
      <c r="J157" s="43"/>
      <c r="K157" s="42"/>
      <c r="L157" s="43"/>
      <c r="M157" s="37"/>
      <c r="N157" s="37"/>
    </row>
    <row r="158" spans="1:14" ht="14.25" thickTop="1" thickBot="1">
      <c r="A158" s="41"/>
      <c r="B158" s="118"/>
      <c r="C158" s="42"/>
      <c r="D158" s="43"/>
      <c r="E158" s="42"/>
      <c r="F158" s="43"/>
      <c r="G158" s="42"/>
      <c r="H158" s="43"/>
      <c r="I158" s="42"/>
      <c r="J158" s="43"/>
      <c r="K158" s="42"/>
      <c r="L158" s="43"/>
      <c r="M158" s="37"/>
      <c r="N158" s="37"/>
    </row>
    <row r="159" spans="1:14" ht="14.25" thickTop="1" thickBot="1">
      <c r="A159" s="41"/>
      <c r="B159" s="118"/>
      <c r="C159" s="42"/>
      <c r="D159" s="43"/>
      <c r="E159" s="42"/>
      <c r="F159" s="43"/>
      <c r="G159" s="42"/>
      <c r="H159" s="43"/>
      <c r="I159" s="42"/>
      <c r="J159" s="43"/>
      <c r="K159" s="42"/>
      <c r="L159" s="43"/>
      <c r="M159" s="37"/>
      <c r="N159" s="37"/>
    </row>
    <row r="160" spans="1:14" ht="14.25" thickTop="1" thickBot="1">
      <c r="A160" s="41"/>
      <c r="B160" s="118"/>
      <c r="C160" s="42"/>
      <c r="D160" s="43"/>
      <c r="E160" s="42"/>
      <c r="F160" s="43"/>
      <c r="G160" s="42"/>
      <c r="H160" s="43"/>
      <c r="I160" s="42"/>
      <c r="J160" s="43"/>
      <c r="K160" s="42"/>
      <c r="L160" s="43"/>
      <c r="M160" s="37"/>
      <c r="N160" s="37"/>
    </row>
    <row r="161" spans="1:14" ht="14.25" thickTop="1" thickBot="1">
      <c r="A161" s="41"/>
      <c r="B161" s="118"/>
      <c r="C161" s="42"/>
      <c r="D161" s="43"/>
      <c r="E161" s="42"/>
      <c r="F161" s="43"/>
      <c r="G161" s="42"/>
      <c r="H161" s="43"/>
      <c r="I161" s="42"/>
      <c r="J161" s="43"/>
      <c r="K161" s="42"/>
      <c r="L161" s="43"/>
      <c r="M161" s="37"/>
      <c r="N161" s="37"/>
    </row>
    <row r="162" spans="1:14" ht="14.25" thickTop="1" thickBot="1">
      <c r="A162" s="41"/>
      <c r="B162" s="118"/>
      <c r="C162" s="42"/>
      <c r="D162" s="43"/>
      <c r="E162" s="42"/>
      <c r="F162" s="43"/>
      <c r="G162" s="42"/>
      <c r="H162" s="43"/>
      <c r="I162" s="42"/>
      <c r="J162" s="43"/>
      <c r="K162" s="42"/>
      <c r="L162" s="43"/>
      <c r="M162" s="37"/>
      <c r="N162" s="37"/>
    </row>
    <row r="163" spans="1:14" s="36" customFormat="1" ht="14.25" thickTop="1" thickBot="1">
      <c r="A163" s="37"/>
      <c r="B163" s="117"/>
      <c r="C163" s="39"/>
      <c r="D163" s="40"/>
      <c r="E163" s="39"/>
      <c r="F163" s="40"/>
      <c r="G163" s="39"/>
      <c r="H163" s="40"/>
      <c r="I163" s="39"/>
      <c r="J163" s="40"/>
      <c r="K163" s="39"/>
      <c r="L163" s="40"/>
      <c r="M163" s="37"/>
      <c r="N163" s="37"/>
    </row>
    <row r="164" spans="1:14" ht="14.25" thickTop="1" thickBot="1">
      <c r="A164" s="41"/>
      <c r="B164" s="118"/>
      <c r="C164" s="42"/>
      <c r="D164" s="43"/>
      <c r="E164" s="42"/>
      <c r="F164" s="43"/>
      <c r="G164" s="42"/>
      <c r="H164" s="43"/>
      <c r="I164" s="42"/>
      <c r="J164" s="43"/>
      <c r="K164" s="42"/>
      <c r="L164" s="43"/>
      <c r="M164" s="37"/>
      <c r="N164" s="37"/>
    </row>
    <row r="165" spans="1:14" ht="14.25" thickTop="1" thickBot="1">
      <c r="A165" s="41"/>
      <c r="B165" s="118"/>
      <c r="C165" s="42"/>
      <c r="D165" s="43"/>
      <c r="E165" s="42"/>
      <c r="F165" s="43"/>
      <c r="G165" s="42"/>
      <c r="H165" s="43"/>
      <c r="I165" s="42"/>
      <c r="J165" s="43"/>
      <c r="K165" s="42"/>
      <c r="L165" s="43"/>
      <c r="M165" s="37"/>
      <c r="N165" s="37"/>
    </row>
    <row r="166" spans="1:14" ht="14.25" thickTop="1" thickBot="1">
      <c r="A166" s="41"/>
      <c r="B166" s="118"/>
      <c r="C166" s="42"/>
      <c r="D166" s="43"/>
      <c r="E166" s="42"/>
      <c r="F166" s="43"/>
      <c r="G166" s="42"/>
      <c r="H166" s="43"/>
      <c r="I166" s="42"/>
      <c r="J166" s="43"/>
      <c r="K166" s="42"/>
      <c r="L166" s="43"/>
      <c r="M166" s="37"/>
      <c r="N166" s="37"/>
    </row>
    <row r="167" spans="1:14" ht="14.25" thickTop="1" thickBot="1">
      <c r="A167" s="41"/>
      <c r="B167" s="118"/>
      <c r="C167" s="42"/>
      <c r="D167" s="43"/>
      <c r="E167" s="42"/>
      <c r="F167" s="43"/>
      <c r="G167" s="42"/>
      <c r="H167" s="43"/>
      <c r="I167" s="42"/>
      <c r="J167" s="43"/>
      <c r="K167" s="42"/>
      <c r="L167" s="43"/>
      <c r="M167" s="37"/>
      <c r="N167" s="37"/>
    </row>
    <row r="168" spans="1:14" ht="14.25" thickTop="1" thickBot="1">
      <c r="A168" s="41"/>
      <c r="B168" s="118"/>
      <c r="C168" s="42"/>
      <c r="D168" s="43"/>
      <c r="E168" s="42"/>
      <c r="F168" s="43"/>
      <c r="G168" s="42"/>
      <c r="H168" s="43"/>
      <c r="I168" s="42"/>
      <c r="J168" s="43"/>
      <c r="K168" s="42"/>
      <c r="L168" s="43"/>
      <c r="M168" s="37"/>
      <c r="N168" s="37"/>
    </row>
    <row r="169" spans="1:14" ht="14.25" thickTop="1" thickBot="1">
      <c r="A169" s="41"/>
      <c r="B169" s="118"/>
      <c r="C169" s="42"/>
      <c r="D169" s="43"/>
      <c r="E169" s="42"/>
      <c r="F169" s="43"/>
      <c r="G169" s="42"/>
      <c r="H169" s="43"/>
      <c r="I169" s="42"/>
      <c r="J169" s="43"/>
      <c r="K169" s="42"/>
      <c r="L169" s="43"/>
      <c r="M169" s="37"/>
      <c r="N169" s="37"/>
    </row>
    <row r="170" spans="1:14" s="36" customFormat="1" ht="14.25" thickTop="1" thickBot="1">
      <c r="A170" s="37"/>
      <c r="B170" s="117"/>
      <c r="C170" s="39"/>
      <c r="D170" s="40"/>
      <c r="E170" s="39"/>
      <c r="F170" s="40"/>
      <c r="G170" s="39"/>
      <c r="H170" s="40"/>
      <c r="I170" s="39"/>
      <c r="J170" s="40"/>
      <c r="K170" s="39"/>
      <c r="L170" s="40"/>
      <c r="M170" s="37"/>
      <c r="N170" s="37"/>
    </row>
    <row r="171" spans="1:14" ht="14.25" thickTop="1" thickBot="1">
      <c r="A171" s="41"/>
      <c r="B171" s="118"/>
      <c r="C171" s="42"/>
      <c r="D171" s="43"/>
      <c r="E171" s="42"/>
      <c r="F171" s="43"/>
      <c r="G171" s="42"/>
      <c r="H171" s="43"/>
      <c r="I171" s="42"/>
      <c r="J171" s="43"/>
      <c r="K171" s="42"/>
      <c r="L171" s="43"/>
      <c r="M171" s="37"/>
      <c r="N171" s="37"/>
    </row>
    <row r="172" spans="1:14" ht="14.25" thickTop="1" thickBot="1">
      <c r="A172" s="41"/>
      <c r="B172" s="118"/>
      <c r="C172" s="42"/>
      <c r="D172" s="43"/>
      <c r="E172" s="42"/>
      <c r="F172" s="43"/>
      <c r="G172" s="42"/>
      <c r="H172" s="43"/>
      <c r="I172" s="42"/>
      <c r="J172" s="43"/>
      <c r="K172" s="42"/>
      <c r="L172" s="43"/>
      <c r="M172" s="37"/>
      <c r="N172" s="37"/>
    </row>
    <row r="173" spans="1:14" ht="14.25" thickTop="1" thickBot="1">
      <c r="A173" s="41"/>
      <c r="B173" s="118"/>
      <c r="C173" s="42"/>
      <c r="D173" s="43"/>
      <c r="E173" s="42"/>
      <c r="F173" s="43"/>
      <c r="G173" s="42"/>
      <c r="H173" s="43"/>
      <c r="I173" s="42"/>
      <c r="J173" s="43"/>
      <c r="K173" s="42"/>
      <c r="L173" s="43"/>
      <c r="M173" s="37"/>
      <c r="N173" s="37"/>
    </row>
    <row r="174" spans="1:14" ht="14.25" thickTop="1" thickBot="1">
      <c r="A174" s="41"/>
      <c r="B174" s="118"/>
      <c r="C174" s="42"/>
      <c r="D174" s="43"/>
      <c r="E174" s="42"/>
      <c r="F174" s="43"/>
      <c r="G174" s="42"/>
      <c r="H174" s="43"/>
      <c r="I174" s="42"/>
      <c r="J174" s="43"/>
      <c r="K174" s="42"/>
      <c r="L174" s="43"/>
      <c r="M174" s="37"/>
      <c r="N174" s="37"/>
    </row>
    <row r="175" spans="1:14" ht="14.25" thickTop="1" thickBot="1">
      <c r="A175" s="41"/>
      <c r="B175" s="118"/>
      <c r="C175" s="42"/>
      <c r="D175" s="43"/>
      <c r="E175" s="42"/>
      <c r="F175" s="43"/>
      <c r="G175" s="42"/>
      <c r="H175" s="43"/>
      <c r="I175" s="42"/>
      <c r="J175" s="43"/>
      <c r="K175" s="42"/>
      <c r="L175" s="43"/>
      <c r="M175" s="37"/>
      <c r="N175" s="37"/>
    </row>
    <row r="176" spans="1:14" ht="14.25" thickTop="1" thickBot="1">
      <c r="A176" s="41"/>
      <c r="B176" s="118"/>
      <c r="C176" s="42"/>
      <c r="D176" s="43"/>
      <c r="E176" s="42"/>
      <c r="F176" s="43"/>
      <c r="G176" s="42"/>
      <c r="H176" s="43"/>
      <c r="I176" s="42"/>
      <c r="J176" s="43"/>
      <c r="K176" s="42"/>
      <c r="L176" s="43"/>
      <c r="M176" s="37"/>
      <c r="N176" s="37"/>
    </row>
    <row r="177" spans="1:14" s="36" customFormat="1" ht="14.25" thickTop="1" thickBot="1">
      <c r="A177" s="37"/>
      <c r="B177" s="117"/>
      <c r="C177" s="39"/>
      <c r="D177" s="40"/>
      <c r="E177" s="39"/>
      <c r="F177" s="40"/>
      <c r="G177" s="39"/>
      <c r="H177" s="40"/>
      <c r="I177" s="39"/>
      <c r="J177" s="40"/>
      <c r="K177" s="39"/>
      <c r="L177" s="40"/>
      <c r="M177" s="37"/>
      <c r="N177" s="37"/>
    </row>
    <row r="178" spans="1:14" ht="14.25" thickTop="1" thickBot="1">
      <c r="A178" s="41"/>
      <c r="B178" s="118"/>
      <c r="C178" s="42"/>
      <c r="D178" s="43"/>
      <c r="E178" s="42"/>
      <c r="F178" s="43"/>
      <c r="G178" s="42"/>
      <c r="H178" s="43"/>
      <c r="I178" s="42"/>
      <c r="J178" s="43"/>
      <c r="K178" s="42"/>
      <c r="L178" s="43"/>
      <c r="M178" s="37"/>
      <c r="N178" s="37"/>
    </row>
    <row r="179" spans="1:14" ht="14.25" thickTop="1" thickBot="1">
      <c r="A179" s="41"/>
      <c r="B179" s="118"/>
      <c r="C179" s="42"/>
      <c r="D179" s="43"/>
      <c r="E179" s="42"/>
      <c r="F179" s="43"/>
      <c r="G179" s="42"/>
      <c r="H179" s="43"/>
      <c r="I179" s="42"/>
      <c r="J179" s="43"/>
      <c r="K179" s="42"/>
      <c r="L179" s="43"/>
      <c r="M179" s="37"/>
      <c r="N179" s="37"/>
    </row>
    <row r="180" spans="1:14" ht="14.25" thickTop="1" thickBot="1">
      <c r="A180" s="41"/>
      <c r="B180" s="118"/>
      <c r="C180" s="42"/>
      <c r="D180" s="43"/>
      <c r="E180" s="42"/>
      <c r="F180" s="43"/>
      <c r="G180" s="42"/>
      <c r="H180" s="43"/>
      <c r="I180" s="42"/>
      <c r="J180" s="43"/>
      <c r="K180" s="42"/>
      <c r="L180" s="43"/>
      <c r="M180" s="37"/>
      <c r="N180" s="37"/>
    </row>
    <row r="181" spans="1:14" ht="14.25" thickTop="1" thickBot="1">
      <c r="A181" s="41"/>
      <c r="B181" s="118"/>
      <c r="C181" s="42"/>
      <c r="D181" s="43"/>
      <c r="E181" s="42"/>
      <c r="F181" s="43"/>
      <c r="G181" s="42"/>
      <c r="H181" s="43"/>
      <c r="I181" s="42"/>
      <c r="J181" s="43"/>
      <c r="K181" s="42"/>
      <c r="L181" s="43"/>
      <c r="M181" s="37"/>
      <c r="N181" s="37"/>
    </row>
    <row r="182" spans="1:14" ht="14.25" thickTop="1" thickBot="1">
      <c r="A182" s="41"/>
      <c r="B182" s="118"/>
      <c r="C182" s="42"/>
      <c r="D182" s="43"/>
      <c r="E182" s="42"/>
      <c r="F182" s="43"/>
      <c r="G182" s="42"/>
      <c r="H182" s="43"/>
      <c r="I182" s="42"/>
      <c r="J182" s="43"/>
      <c r="K182" s="42"/>
      <c r="L182" s="43"/>
      <c r="M182" s="37"/>
      <c r="N182" s="37"/>
    </row>
    <row r="183" spans="1:14" ht="14.25" thickTop="1" thickBot="1">
      <c r="A183" s="41"/>
      <c r="B183" s="118"/>
      <c r="C183" s="42"/>
      <c r="D183" s="43"/>
      <c r="E183" s="42"/>
      <c r="F183" s="43"/>
      <c r="G183" s="42"/>
      <c r="H183" s="43"/>
      <c r="I183" s="42"/>
      <c r="J183" s="43"/>
      <c r="K183" s="42"/>
      <c r="L183" s="43"/>
      <c r="M183" s="37"/>
      <c r="N183" s="37"/>
    </row>
    <row r="184" spans="1:14" s="36" customFormat="1" ht="14.25" thickTop="1" thickBot="1">
      <c r="A184" s="37"/>
      <c r="B184" s="117"/>
      <c r="C184" s="39"/>
      <c r="D184" s="40"/>
      <c r="E184" s="39"/>
      <c r="F184" s="40"/>
      <c r="G184" s="39"/>
      <c r="H184" s="40"/>
      <c r="I184" s="39"/>
      <c r="J184" s="40"/>
      <c r="K184" s="39"/>
      <c r="L184" s="40"/>
      <c r="M184" s="37"/>
      <c r="N184" s="37"/>
    </row>
    <row r="185" spans="1:14" ht="14.25" thickTop="1" thickBot="1">
      <c r="A185" s="41"/>
      <c r="B185" s="118"/>
      <c r="C185" s="42"/>
      <c r="D185" s="43"/>
      <c r="E185" s="42"/>
      <c r="F185" s="43"/>
      <c r="G185" s="42"/>
      <c r="H185" s="43"/>
      <c r="I185" s="42"/>
      <c r="J185" s="43"/>
      <c r="K185" s="42"/>
      <c r="L185" s="43"/>
      <c r="M185" s="37"/>
      <c r="N185" s="37"/>
    </row>
    <row r="186" spans="1:14" ht="14.25" thickTop="1" thickBot="1">
      <c r="A186" s="41"/>
      <c r="B186" s="118"/>
      <c r="C186" s="42"/>
      <c r="D186" s="43"/>
      <c r="E186" s="42"/>
      <c r="F186" s="43"/>
      <c r="G186" s="42"/>
      <c r="H186" s="43"/>
      <c r="I186" s="42"/>
      <c r="J186" s="43"/>
      <c r="K186" s="42"/>
      <c r="L186" s="43"/>
      <c r="M186" s="37"/>
      <c r="N186" s="37"/>
    </row>
    <row r="187" spans="1:14" ht="14.25" thickTop="1" thickBot="1">
      <c r="A187" s="41"/>
      <c r="B187" s="118"/>
      <c r="C187" s="42"/>
      <c r="D187" s="43"/>
      <c r="E187" s="42"/>
      <c r="F187" s="43"/>
      <c r="G187" s="42"/>
      <c r="H187" s="43"/>
      <c r="I187" s="42"/>
      <c r="J187" s="43"/>
      <c r="K187" s="42"/>
      <c r="L187" s="43"/>
      <c r="M187" s="37"/>
      <c r="N187" s="37"/>
    </row>
    <row r="188" spans="1:14" ht="14.25" thickTop="1" thickBot="1">
      <c r="A188" s="41"/>
      <c r="B188" s="118"/>
      <c r="C188" s="42"/>
      <c r="D188" s="43"/>
      <c r="E188" s="42"/>
      <c r="F188" s="43"/>
      <c r="G188" s="42"/>
      <c r="H188" s="43"/>
      <c r="I188" s="42"/>
      <c r="J188" s="43"/>
      <c r="K188" s="42"/>
      <c r="L188" s="43"/>
      <c r="M188" s="37"/>
      <c r="N188" s="37"/>
    </row>
    <row r="189" spans="1:14" ht="14.25" thickTop="1" thickBot="1">
      <c r="A189" s="41"/>
      <c r="B189" s="118"/>
      <c r="C189" s="42"/>
      <c r="D189" s="43"/>
      <c r="E189" s="42"/>
      <c r="F189" s="43"/>
      <c r="G189" s="42"/>
      <c r="H189" s="43"/>
      <c r="I189" s="42"/>
      <c r="J189" s="43"/>
      <c r="K189" s="42"/>
      <c r="L189" s="43"/>
      <c r="M189" s="37"/>
      <c r="N189" s="37"/>
    </row>
    <row r="190" spans="1:14" ht="14.25" thickTop="1" thickBot="1">
      <c r="A190" s="41"/>
      <c r="B190" s="118"/>
      <c r="C190" s="42"/>
      <c r="D190" s="43"/>
      <c r="E190" s="42"/>
      <c r="F190" s="43"/>
      <c r="G190" s="42"/>
      <c r="H190" s="43"/>
      <c r="I190" s="42"/>
      <c r="J190" s="43"/>
      <c r="K190" s="42"/>
      <c r="L190" s="43"/>
      <c r="M190" s="37"/>
      <c r="N190" s="37"/>
    </row>
    <row r="191" spans="1:14" s="36" customFormat="1" ht="14.25" thickTop="1" thickBot="1">
      <c r="A191" s="37"/>
      <c r="B191" s="117"/>
      <c r="C191" s="39"/>
      <c r="D191" s="40"/>
      <c r="E191" s="39"/>
      <c r="F191" s="40"/>
      <c r="G191" s="39"/>
      <c r="H191" s="40"/>
      <c r="I191" s="39"/>
      <c r="J191" s="40"/>
      <c r="K191" s="39"/>
      <c r="L191" s="40"/>
      <c r="M191" s="37"/>
      <c r="N191" s="37"/>
    </row>
    <row r="192" spans="1:14" ht="14.25" thickTop="1" thickBot="1">
      <c r="A192" s="41"/>
      <c r="B192" s="118"/>
      <c r="C192" s="42"/>
      <c r="D192" s="43"/>
      <c r="E192" s="42"/>
      <c r="F192" s="43"/>
      <c r="G192" s="42"/>
      <c r="H192" s="43"/>
      <c r="I192" s="42"/>
      <c r="J192" s="43"/>
      <c r="K192" s="42"/>
      <c r="L192" s="43"/>
      <c r="M192" s="37"/>
      <c r="N192" s="37"/>
    </row>
    <row r="193" spans="1:14" ht="14.25" thickTop="1" thickBot="1">
      <c r="A193" s="41"/>
      <c r="B193" s="118"/>
      <c r="C193" s="42"/>
      <c r="D193" s="43"/>
      <c r="E193" s="42"/>
      <c r="F193" s="43"/>
      <c r="G193" s="42"/>
      <c r="H193" s="43"/>
      <c r="I193" s="42"/>
      <c r="J193" s="43"/>
      <c r="K193" s="42"/>
      <c r="L193" s="43"/>
      <c r="M193" s="37"/>
      <c r="N193" s="37"/>
    </row>
    <row r="194" spans="1:14" ht="14.25" thickTop="1" thickBot="1">
      <c r="A194" s="41"/>
      <c r="B194" s="118"/>
      <c r="C194" s="42"/>
      <c r="D194" s="43"/>
      <c r="E194" s="42"/>
      <c r="F194" s="43"/>
      <c r="G194" s="42"/>
      <c r="H194" s="43"/>
      <c r="I194" s="42"/>
      <c r="J194" s="43"/>
      <c r="K194" s="42"/>
      <c r="L194" s="43"/>
      <c r="M194" s="37"/>
      <c r="N194" s="37"/>
    </row>
    <row r="195" spans="1:14" ht="14.25" thickTop="1" thickBot="1">
      <c r="A195" s="41"/>
      <c r="B195" s="118"/>
      <c r="C195" s="42"/>
      <c r="D195" s="43"/>
      <c r="E195" s="42"/>
      <c r="F195" s="43"/>
      <c r="G195" s="42"/>
      <c r="H195" s="43"/>
      <c r="I195" s="42"/>
      <c r="J195" s="43"/>
      <c r="K195" s="42"/>
      <c r="L195" s="43"/>
      <c r="M195" s="37"/>
      <c r="N195" s="37"/>
    </row>
    <row r="196" spans="1:14" ht="14.25" thickTop="1" thickBot="1">
      <c r="A196" s="41"/>
      <c r="B196" s="118"/>
      <c r="C196" s="42"/>
      <c r="D196" s="43"/>
      <c r="E196" s="42"/>
      <c r="F196" s="43"/>
      <c r="G196" s="42"/>
      <c r="H196" s="43"/>
      <c r="I196" s="42"/>
      <c r="J196" s="43"/>
      <c r="K196" s="42"/>
      <c r="L196" s="43"/>
      <c r="M196" s="37"/>
      <c r="N196" s="37"/>
    </row>
    <row r="197" spans="1:14" ht="14.25" thickTop="1" thickBot="1">
      <c r="A197" s="41"/>
      <c r="B197" s="118"/>
      <c r="C197" s="42"/>
      <c r="D197" s="43"/>
      <c r="E197" s="42"/>
      <c r="F197" s="43"/>
      <c r="G197" s="42"/>
      <c r="H197" s="43"/>
      <c r="I197" s="42"/>
      <c r="J197" s="43"/>
      <c r="K197" s="42"/>
      <c r="L197" s="43"/>
      <c r="M197" s="37"/>
      <c r="N197" s="37"/>
    </row>
    <row r="198" spans="1:14" s="36" customFormat="1" ht="14.25" thickTop="1" thickBot="1">
      <c r="A198" s="37"/>
      <c r="B198" s="117"/>
      <c r="C198" s="39"/>
      <c r="D198" s="40"/>
      <c r="E198" s="39"/>
      <c r="F198" s="40"/>
      <c r="G198" s="39"/>
      <c r="H198" s="40"/>
      <c r="I198" s="39"/>
      <c r="J198" s="40"/>
      <c r="K198" s="39"/>
      <c r="L198" s="40"/>
      <c r="M198" s="37"/>
      <c r="N198" s="37"/>
    </row>
    <row r="199" spans="1:14" ht="14.25" thickTop="1" thickBot="1">
      <c r="A199" s="41"/>
      <c r="B199" s="118"/>
      <c r="C199" s="42"/>
      <c r="D199" s="43"/>
      <c r="E199" s="42"/>
      <c r="F199" s="43"/>
      <c r="G199" s="42"/>
      <c r="H199" s="43"/>
      <c r="I199" s="42"/>
      <c r="J199" s="43"/>
      <c r="K199" s="42"/>
      <c r="L199" s="43"/>
      <c r="M199" s="37"/>
      <c r="N199" s="37"/>
    </row>
    <row r="200" spans="1:14" ht="14.25" thickTop="1" thickBot="1">
      <c r="A200" s="41"/>
      <c r="B200" s="118"/>
      <c r="C200" s="42"/>
      <c r="D200" s="43"/>
      <c r="E200" s="42"/>
      <c r="F200" s="43"/>
      <c r="G200" s="42"/>
      <c r="H200" s="43"/>
      <c r="I200" s="42"/>
      <c r="J200" s="43"/>
      <c r="K200" s="42"/>
      <c r="L200" s="43"/>
      <c r="M200" s="37"/>
      <c r="N200" s="37"/>
    </row>
    <row r="201" spans="1:14" ht="14.25" thickTop="1" thickBot="1">
      <c r="A201" s="41"/>
      <c r="B201" s="118"/>
      <c r="C201" s="42"/>
      <c r="D201" s="43"/>
      <c r="E201" s="42"/>
      <c r="F201" s="43"/>
      <c r="G201" s="42"/>
      <c r="H201" s="43"/>
      <c r="I201" s="42"/>
      <c r="J201" s="43"/>
      <c r="K201" s="42"/>
      <c r="L201" s="43"/>
      <c r="M201" s="37"/>
      <c r="N201" s="37"/>
    </row>
    <row r="202" spans="1:14" ht="14.25" thickTop="1" thickBot="1">
      <c r="A202" s="41"/>
      <c r="B202" s="118"/>
      <c r="C202" s="42"/>
      <c r="D202" s="43"/>
      <c r="E202" s="42"/>
      <c r="F202" s="43"/>
      <c r="G202" s="42"/>
      <c r="H202" s="43"/>
      <c r="I202" s="42"/>
      <c r="J202" s="43"/>
      <c r="K202" s="42"/>
      <c r="L202" s="43"/>
      <c r="M202" s="37"/>
      <c r="N202" s="37"/>
    </row>
    <row r="203" spans="1:14" ht="14.25" thickTop="1" thickBot="1">
      <c r="A203" s="41"/>
      <c r="B203" s="118"/>
      <c r="C203" s="42"/>
      <c r="D203" s="43"/>
      <c r="E203" s="42"/>
      <c r="F203" s="43"/>
      <c r="G203" s="42"/>
      <c r="H203" s="43"/>
      <c r="I203" s="42"/>
      <c r="J203" s="43"/>
      <c r="K203" s="42"/>
      <c r="L203" s="43"/>
      <c r="M203" s="37"/>
      <c r="N203" s="37"/>
    </row>
    <row r="204" spans="1:14" ht="14.25" thickTop="1" thickBot="1">
      <c r="A204" s="41"/>
      <c r="B204" s="118"/>
      <c r="C204" s="42"/>
      <c r="D204" s="43"/>
      <c r="E204" s="42"/>
      <c r="F204" s="43"/>
      <c r="G204" s="42"/>
      <c r="H204" s="43"/>
      <c r="I204" s="42"/>
      <c r="J204" s="43"/>
      <c r="K204" s="42"/>
      <c r="L204" s="43"/>
      <c r="M204" s="37"/>
      <c r="N204" s="37"/>
    </row>
    <row r="205" spans="1:14" s="36" customFormat="1" ht="14.25" thickTop="1" thickBot="1">
      <c r="A205" s="37"/>
      <c r="B205" s="117"/>
      <c r="C205" s="39"/>
      <c r="D205" s="40"/>
      <c r="E205" s="39"/>
      <c r="F205" s="40"/>
      <c r="G205" s="39"/>
      <c r="H205" s="40"/>
      <c r="I205" s="39"/>
      <c r="J205" s="40"/>
      <c r="K205" s="39"/>
      <c r="L205" s="40"/>
      <c r="M205" s="37"/>
      <c r="N205" s="37"/>
    </row>
    <row r="206" spans="1:14" ht="14.25" thickTop="1" thickBot="1">
      <c r="A206" s="41"/>
      <c r="B206" s="118"/>
      <c r="C206" s="42"/>
      <c r="D206" s="43"/>
      <c r="E206" s="42"/>
      <c r="F206" s="43"/>
      <c r="G206" s="42"/>
      <c r="H206" s="43"/>
      <c r="I206" s="42"/>
      <c r="J206" s="43"/>
      <c r="K206" s="42"/>
      <c r="L206" s="43"/>
      <c r="M206" s="37"/>
      <c r="N206" s="37"/>
    </row>
    <row r="207" spans="1:14" ht="14.25" thickTop="1" thickBot="1">
      <c r="A207" s="41"/>
      <c r="B207" s="118"/>
      <c r="C207" s="42"/>
      <c r="D207" s="43"/>
      <c r="E207" s="42"/>
      <c r="F207" s="43"/>
      <c r="G207" s="42"/>
      <c r="H207" s="43"/>
      <c r="I207" s="42"/>
      <c r="J207" s="43"/>
      <c r="K207" s="42"/>
      <c r="L207" s="43"/>
      <c r="M207" s="37"/>
      <c r="N207" s="37"/>
    </row>
    <row r="208" spans="1:14" ht="14.25" thickTop="1" thickBot="1">
      <c r="A208" s="41"/>
      <c r="B208" s="118"/>
      <c r="C208" s="42"/>
      <c r="D208" s="43"/>
      <c r="E208" s="42"/>
      <c r="F208" s="43"/>
      <c r="G208" s="42"/>
      <c r="H208" s="43"/>
      <c r="I208" s="42"/>
      <c r="J208" s="43"/>
      <c r="K208" s="42"/>
      <c r="L208" s="43"/>
      <c r="M208" s="37"/>
      <c r="N208" s="37"/>
    </row>
    <row r="209" spans="1:14" ht="14.25" thickTop="1" thickBot="1">
      <c r="A209" s="41"/>
      <c r="B209" s="118"/>
      <c r="C209" s="42"/>
      <c r="D209" s="43"/>
      <c r="E209" s="42"/>
      <c r="F209" s="43"/>
      <c r="G209" s="42"/>
      <c r="H209" s="43"/>
      <c r="I209" s="42"/>
      <c r="J209" s="43"/>
      <c r="K209" s="42"/>
      <c r="L209" s="43"/>
      <c r="M209" s="37"/>
      <c r="N209" s="37"/>
    </row>
    <row r="210" spans="1:14" ht="14.25" thickTop="1" thickBot="1">
      <c r="A210" s="41"/>
      <c r="B210" s="118"/>
      <c r="C210" s="42"/>
      <c r="D210" s="43"/>
      <c r="E210" s="42"/>
      <c r="F210" s="43"/>
      <c r="G210" s="42"/>
      <c r="H210" s="43"/>
      <c r="I210" s="42"/>
      <c r="J210" s="43"/>
      <c r="K210" s="42"/>
      <c r="L210" s="43"/>
      <c r="M210" s="37"/>
      <c r="N210" s="37"/>
    </row>
    <row r="211" spans="1:14" ht="14.25" thickTop="1" thickBot="1">
      <c r="A211" s="41"/>
      <c r="B211" s="118"/>
      <c r="C211" s="42"/>
      <c r="D211" s="43"/>
      <c r="E211" s="42"/>
      <c r="F211" s="43"/>
      <c r="G211" s="42"/>
      <c r="H211" s="43"/>
      <c r="I211" s="42"/>
      <c r="J211" s="43"/>
      <c r="K211" s="42"/>
      <c r="L211" s="43"/>
      <c r="M211" s="37"/>
      <c r="N211" s="37"/>
    </row>
    <row r="212" spans="1:14" s="36" customFormat="1" ht="14.25" thickTop="1" thickBot="1">
      <c r="A212" s="37"/>
      <c r="B212" s="117"/>
      <c r="C212" s="39"/>
      <c r="D212" s="40"/>
      <c r="E212" s="39"/>
      <c r="F212" s="40"/>
      <c r="G212" s="39"/>
      <c r="H212" s="40"/>
      <c r="I212" s="39"/>
      <c r="J212" s="40"/>
      <c r="K212" s="39"/>
      <c r="L212" s="40"/>
      <c r="M212" s="37"/>
      <c r="N212" s="37"/>
    </row>
    <row r="213" spans="1:14" ht="14.25" thickTop="1" thickBot="1">
      <c r="A213" s="41"/>
      <c r="B213" s="118"/>
      <c r="C213" s="42"/>
      <c r="D213" s="43"/>
      <c r="E213" s="42"/>
      <c r="F213" s="43"/>
      <c r="G213" s="42"/>
      <c r="H213" s="43"/>
      <c r="I213" s="42"/>
      <c r="J213" s="43"/>
      <c r="K213" s="42"/>
      <c r="L213" s="43"/>
      <c r="M213" s="37"/>
      <c r="N213" s="37"/>
    </row>
    <row r="214" spans="1:14" ht="14.25" thickTop="1" thickBot="1">
      <c r="A214" s="41"/>
      <c r="B214" s="118"/>
      <c r="C214" s="42"/>
      <c r="D214" s="43"/>
      <c r="E214" s="42"/>
      <c r="F214" s="43"/>
      <c r="G214" s="42"/>
      <c r="H214" s="43"/>
      <c r="I214" s="42"/>
      <c r="J214" s="43"/>
      <c r="K214" s="42"/>
      <c r="L214" s="43"/>
      <c r="M214" s="37"/>
      <c r="N214" s="37"/>
    </row>
    <row r="215" spans="1:14" ht="14.25" thickTop="1" thickBot="1">
      <c r="A215" s="41"/>
      <c r="B215" s="118"/>
      <c r="C215" s="42"/>
      <c r="D215" s="43"/>
      <c r="E215" s="42"/>
      <c r="F215" s="43"/>
      <c r="G215" s="42"/>
      <c r="H215" s="43"/>
      <c r="I215" s="42"/>
      <c r="J215" s="43"/>
      <c r="K215" s="42"/>
      <c r="L215" s="43"/>
      <c r="M215" s="37"/>
      <c r="N215" s="37"/>
    </row>
    <row r="216" spans="1:14" ht="14.25" thickTop="1" thickBot="1">
      <c r="A216" s="41"/>
      <c r="B216" s="118"/>
      <c r="C216" s="42"/>
      <c r="D216" s="43"/>
      <c r="E216" s="42"/>
      <c r="F216" s="43"/>
      <c r="G216" s="42"/>
      <c r="H216" s="43"/>
      <c r="I216" s="42"/>
      <c r="J216" s="43"/>
      <c r="K216" s="42"/>
      <c r="L216" s="43"/>
      <c r="M216" s="37"/>
      <c r="N216" s="37"/>
    </row>
    <row r="217" spans="1:14" ht="14.25" thickTop="1" thickBot="1">
      <c r="A217" s="41"/>
      <c r="B217" s="118"/>
      <c r="C217" s="42"/>
      <c r="D217" s="43"/>
      <c r="E217" s="42"/>
      <c r="F217" s="43"/>
      <c r="G217" s="42"/>
      <c r="H217" s="43"/>
      <c r="I217" s="42"/>
      <c r="J217" s="43"/>
      <c r="K217" s="42"/>
      <c r="L217" s="43"/>
      <c r="M217" s="37"/>
      <c r="N217" s="37"/>
    </row>
    <row r="218" spans="1:14" ht="14.25" thickTop="1" thickBot="1">
      <c r="A218" s="41"/>
      <c r="B218" s="118"/>
      <c r="C218" s="42"/>
      <c r="D218" s="43"/>
      <c r="E218" s="42"/>
      <c r="F218" s="43"/>
      <c r="G218" s="42"/>
      <c r="H218" s="43"/>
      <c r="I218" s="42"/>
      <c r="J218" s="43"/>
      <c r="K218" s="42"/>
      <c r="L218" s="43"/>
      <c r="M218" s="37"/>
      <c r="N218" s="37"/>
    </row>
    <row r="219" spans="1:14" s="36" customFormat="1" ht="14.25" thickTop="1" thickBot="1">
      <c r="A219" s="37"/>
      <c r="B219" s="117"/>
      <c r="C219" s="39"/>
      <c r="D219" s="40"/>
      <c r="E219" s="39"/>
      <c r="F219" s="40"/>
      <c r="G219" s="39"/>
      <c r="H219" s="40"/>
      <c r="I219" s="39"/>
      <c r="J219" s="40"/>
      <c r="K219" s="39"/>
      <c r="L219" s="40"/>
      <c r="M219" s="37"/>
      <c r="N219" s="37"/>
    </row>
    <row r="220" spans="1:14" ht="14.25" thickTop="1" thickBot="1">
      <c r="A220" s="41"/>
      <c r="B220" s="118"/>
      <c r="C220" s="42"/>
      <c r="D220" s="43"/>
      <c r="E220" s="42"/>
      <c r="F220" s="43"/>
      <c r="G220" s="42"/>
      <c r="H220" s="43"/>
      <c r="I220" s="42"/>
      <c r="J220" s="43"/>
      <c r="K220" s="42"/>
      <c r="L220" s="43"/>
      <c r="M220" s="37"/>
      <c r="N220" s="37"/>
    </row>
    <row r="221" spans="1:14" ht="14.25" thickTop="1" thickBot="1">
      <c r="A221" s="41"/>
      <c r="B221" s="118"/>
      <c r="C221" s="42"/>
      <c r="D221" s="43"/>
      <c r="E221" s="42"/>
      <c r="F221" s="43"/>
      <c r="G221" s="42"/>
      <c r="H221" s="43"/>
      <c r="I221" s="42"/>
      <c r="J221" s="43"/>
      <c r="K221" s="42"/>
      <c r="L221" s="43"/>
      <c r="M221" s="37"/>
      <c r="N221" s="37"/>
    </row>
    <row r="222" spans="1:14" ht="14.25" thickTop="1" thickBot="1">
      <c r="A222" s="41"/>
      <c r="B222" s="118"/>
      <c r="C222" s="42"/>
      <c r="D222" s="43"/>
      <c r="E222" s="42"/>
      <c r="F222" s="43"/>
      <c r="G222" s="42"/>
      <c r="H222" s="43"/>
      <c r="I222" s="42"/>
      <c r="J222" s="43"/>
      <c r="K222" s="42"/>
      <c r="L222" s="43"/>
      <c r="M222" s="37"/>
      <c r="N222" s="37"/>
    </row>
    <row r="223" spans="1:14" ht="14.25" thickTop="1" thickBot="1">
      <c r="A223" s="41"/>
      <c r="B223" s="118"/>
      <c r="C223" s="42"/>
      <c r="D223" s="43"/>
      <c r="E223" s="42"/>
      <c r="F223" s="43"/>
      <c r="G223" s="42"/>
      <c r="H223" s="43"/>
      <c r="I223" s="42"/>
      <c r="J223" s="43"/>
      <c r="K223" s="42"/>
      <c r="L223" s="43"/>
      <c r="M223" s="37"/>
      <c r="N223" s="37"/>
    </row>
    <row r="224" spans="1:14" ht="14.25" thickTop="1" thickBot="1">
      <c r="A224" s="41"/>
      <c r="B224" s="118"/>
      <c r="C224" s="42"/>
      <c r="D224" s="43"/>
      <c r="E224" s="42"/>
      <c r="F224" s="43"/>
      <c r="G224" s="42"/>
      <c r="H224" s="43"/>
      <c r="I224" s="42"/>
      <c r="J224" s="43"/>
      <c r="K224" s="42"/>
      <c r="L224" s="43"/>
      <c r="M224" s="37"/>
      <c r="N224" s="37"/>
    </row>
    <row r="225" spans="1:14" ht="14.25" thickTop="1" thickBot="1">
      <c r="A225" s="41"/>
      <c r="B225" s="118"/>
      <c r="C225" s="42"/>
      <c r="D225" s="43"/>
      <c r="E225" s="42"/>
      <c r="F225" s="43"/>
      <c r="G225" s="42"/>
      <c r="H225" s="43"/>
      <c r="I225" s="42"/>
      <c r="J225" s="43"/>
      <c r="K225" s="42"/>
      <c r="L225" s="43"/>
      <c r="M225" s="37"/>
      <c r="N225" s="37"/>
    </row>
    <row r="226" spans="1:14" s="36" customFormat="1" ht="14.25" thickTop="1" thickBot="1">
      <c r="A226" s="37"/>
      <c r="B226" s="117"/>
      <c r="C226" s="39"/>
      <c r="D226" s="40"/>
      <c r="E226" s="39"/>
      <c r="F226" s="40"/>
      <c r="G226" s="39"/>
      <c r="H226" s="40"/>
      <c r="I226" s="39"/>
      <c r="J226" s="40"/>
      <c r="K226" s="39"/>
      <c r="L226" s="40"/>
      <c r="M226" s="37"/>
      <c r="N226" s="37"/>
    </row>
    <row r="227" spans="1:14" ht="14.25" thickTop="1" thickBot="1">
      <c r="A227" s="41"/>
      <c r="B227" s="118"/>
      <c r="C227" s="42"/>
      <c r="D227" s="43"/>
      <c r="E227" s="42"/>
      <c r="F227" s="43"/>
      <c r="G227" s="42"/>
      <c r="H227" s="43"/>
      <c r="I227" s="42"/>
      <c r="J227" s="43"/>
      <c r="K227" s="42"/>
      <c r="L227" s="43"/>
      <c r="M227" s="37"/>
      <c r="N227" s="37"/>
    </row>
    <row r="228" spans="1:14" ht="14.25" thickTop="1" thickBot="1">
      <c r="A228" s="41"/>
      <c r="B228" s="118"/>
      <c r="C228" s="42"/>
      <c r="D228" s="43"/>
      <c r="E228" s="42"/>
      <c r="F228" s="43"/>
      <c r="G228" s="42"/>
      <c r="H228" s="43"/>
      <c r="I228" s="42"/>
      <c r="J228" s="43"/>
      <c r="K228" s="42"/>
      <c r="L228" s="43"/>
      <c r="M228" s="37"/>
      <c r="N228" s="37"/>
    </row>
    <row r="229" spans="1:14" ht="14.25" thickTop="1" thickBot="1">
      <c r="A229" s="41"/>
      <c r="B229" s="118"/>
      <c r="C229" s="42"/>
      <c r="D229" s="43"/>
      <c r="E229" s="42"/>
      <c r="F229" s="43"/>
      <c r="G229" s="42"/>
      <c r="H229" s="43"/>
      <c r="I229" s="42"/>
      <c r="J229" s="43"/>
      <c r="K229" s="42"/>
      <c r="L229" s="43"/>
      <c r="M229" s="37"/>
      <c r="N229" s="37"/>
    </row>
    <row r="230" spans="1:14" ht="14.25" thickTop="1" thickBot="1">
      <c r="A230" s="41"/>
      <c r="B230" s="118"/>
      <c r="C230" s="42"/>
      <c r="D230" s="43"/>
      <c r="E230" s="42"/>
      <c r="F230" s="43"/>
      <c r="G230" s="42"/>
      <c r="H230" s="43"/>
      <c r="I230" s="42"/>
      <c r="J230" s="43"/>
      <c r="K230" s="42"/>
      <c r="L230" s="43"/>
      <c r="M230" s="37"/>
      <c r="N230" s="37"/>
    </row>
    <row r="231" spans="1:14" ht="14.25" thickTop="1" thickBot="1">
      <c r="A231" s="41"/>
      <c r="B231" s="118"/>
      <c r="C231" s="42"/>
      <c r="D231" s="43"/>
      <c r="E231" s="42"/>
      <c r="F231" s="43"/>
      <c r="G231" s="42"/>
      <c r="H231" s="43"/>
      <c r="I231" s="42"/>
      <c r="J231" s="43"/>
      <c r="K231" s="42"/>
      <c r="L231" s="43"/>
      <c r="M231" s="37"/>
      <c r="N231" s="37"/>
    </row>
    <row r="232" spans="1:14" ht="14.25" thickTop="1" thickBot="1">
      <c r="A232" s="41"/>
      <c r="B232" s="118"/>
      <c r="C232" s="42"/>
      <c r="D232" s="43"/>
      <c r="E232" s="42"/>
      <c r="F232" s="43"/>
      <c r="G232" s="42"/>
      <c r="H232" s="43"/>
      <c r="I232" s="42"/>
      <c r="J232" s="43"/>
      <c r="K232" s="42"/>
      <c r="L232" s="43"/>
      <c r="M232" s="37"/>
      <c r="N232" s="37"/>
    </row>
    <row r="233" spans="1:14" s="36" customFormat="1" ht="14.25" thickTop="1" thickBot="1">
      <c r="A233" s="37"/>
      <c r="B233" s="117"/>
      <c r="C233" s="39"/>
      <c r="D233" s="40"/>
      <c r="E233" s="39"/>
      <c r="F233" s="40"/>
      <c r="G233" s="39"/>
      <c r="H233" s="40"/>
      <c r="I233" s="39"/>
      <c r="J233" s="40"/>
      <c r="K233" s="39"/>
      <c r="L233" s="40"/>
      <c r="M233" s="37"/>
      <c r="N233" s="37"/>
    </row>
    <row r="234" spans="1:14" ht="14.25" thickTop="1" thickBot="1">
      <c r="A234" s="41"/>
      <c r="B234" s="118"/>
      <c r="C234" s="42"/>
      <c r="D234" s="43"/>
      <c r="E234" s="42"/>
      <c r="F234" s="43"/>
      <c r="G234" s="42"/>
      <c r="H234" s="43"/>
      <c r="I234" s="42"/>
      <c r="J234" s="43"/>
      <c r="K234" s="42"/>
      <c r="L234" s="43"/>
      <c r="M234" s="37"/>
      <c r="N234" s="37"/>
    </row>
    <row r="235" spans="1:14" ht="14.25" thickTop="1" thickBot="1">
      <c r="A235" s="41"/>
      <c r="B235" s="118"/>
      <c r="C235" s="42"/>
      <c r="D235" s="43"/>
      <c r="E235" s="42"/>
      <c r="F235" s="43"/>
      <c r="G235" s="42"/>
      <c r="H235" s="43"/>
      <c r="I235" s="42"/>
      <c r="J235" s="43"/>
      <c r="K235" s="42"/>
      <c r="L235" s="43"/>
      <c r="M235" s="37"/>
      <c r="N235" s="37"/>
    </row>
    <row r="236" spans="1:14" ht="14.25" thickTop="1" thickBot="1">
      <c r="A236" s="41"/>
      <c r="B236" s="118"/>
      <c r="C236" s="42"/>
      <c r="D236" s="43"/>
      <c r="E236" s="42"/>
      <c r="F236" s="43"/>
      <c r="G236" s="42"/>
      <c r="H236" s="43"/>
      <c r="I236" s="42"/>
      <c r="J236" s="43"/>
      <c r="K236" s="42"/>
      <c r="L236" s="43"/>
      <c r="M236" s="37"/>
      <c r="N236" s="37"/>
    </row>
    <row r="237" spans="1:14" ht="14.25" thickTop="1" thickBot="1">
      <c r="A237" s="41"/>
      <c r="B237" s="118"/>
      <c r="C237" s="42"/>
      <c r="D237" s="43"/>
      <c r="E237" s="42"/>
      <c r="F237" s="43"/>
      <c r="G237" s="42"/>
      <c r="H237" s="43"/>
      <c r="I237" s="42"/>
      <c r="J237" s="43"/>
      <c r="K237" s="42"/>
      <c r="L237" s="43"/>
      <c r="M237" s="37"/>
      <c r="N237" s="37"/>
    </row>
    <row r="238" spans="1:14" ht="14.25" thickTop="1" thickBot="1">
      <c r="A238" s="41"/>
      <c r="B238" s="118"/>
      <c r="C238" s="42"/>
      <c r="D238" s="43"/>
      <c r="E238" s="42"/>
      <c r="F238" s="43"/>
      <c r="G238" s="42"/>
      <c r="H238" s="43"/>
      <c r="I238" s="42"/>
      <c r="J238" s="43"/>
      <c r="K238" s="42"/>
      <c r="L238" s="43"/>
      <c r="M238" s="37"/>
      <c r="N238" s="37"/>
    </row>
    <row r="239" spans="1:14" ht="14.25" thickTop="1" thickBot="1">
      <c r="A239" s="41"/>
      <c r="B239" s="118"/>
      <c r="C239" s="42"/>
      <c r="D239" s="43"/>
      <c r="E239" s="42"/>
      <c r="F239" s="43"/>
      <c r="G239" s="42"/>
      <c r="H239" s="43"/>
      <c r="I239" s="42"/>
      <c r="J239" s="43"/>
      <c r="K239" s="42"/>
      <c r="L239" s="43"/>
      <c r="M239" s="37"/>
      <c r="N239" s="37"/>
    </row>
    <row r="240" spans="1:14" s="36" customFormat="1" ht="14.25" thickTop="1" thickBot="1">
      <c r="A240" s="37"/>
      <c r="B240" s="117"/>
      <c r="C240" s="39"/>
      <c r="D240" s="40"/>
      <c r="E240" s="39"/>
      <c r="F240" s="40"/>
      <c r="G240" s="39"/>
      <c r="H240" s="40"/>
      <c r="I240" s="39"/>
      <c r="J240" s="40"/>
      <c r="K240" s="39"/>
      <c r="L240" s="40"/>
      <c r="M240" s="37"/>
      <c r="N240" s="37"/>
    </row>
    <row r="241" spans="1:14" ht="14.25" thickTop="1" thickBot="1">
      <c r="A241" s="41"/>
      <c r="B241" s="118"/>
      <c r="C241" s="42"/>
      <c r="D241" s="43"/>
      <c r="E241" s="42"/>
      <c r="F241" s="43"/>
      <c r="G241" s="42"/>
      <c r="H241" s="43"/>
      <c r="I241" s="42"/>
      <c r="J241" s="43"/>
      <c r="K241" s="42"/>
      <c r="L241" s="43"/>
      <c r="M241" s="37"/>
      <c r="N241" s="37"/>
    </row>
    <row r="242" spans="1:14" ht="14.25" thickTop="1" thickBot="1">
      <c r="A242" s="41"/>
      <c r="B242" s="118"/>
      <c r="C242" s="42"/>
      <c r="D242" s="43"/>
      <c r="E242" s="42"/>
      <c r="F242" s="43"/>
      <c r="G242" s="42"/>
      <c r="H242" s="43"/>
      <c r="I242" s="42"/>
      <c r="J242" s="43"/>
      <c r="K242" s="42"/>
      <c r="L242" s="43"/>
      <c r="M242" s="37"/>
      <c r="N242" s="37"/>
    </row>
    <row r="243" spans="1:14" ht="14.25" thickTop="1" thickBot="1">
      <c r="A243" s="41"/>
      <c r="B243" s="118"/>
      <c r="C243" s="42"/>
      <c r="D243" s="43"/>
      <c r="E243" s="42"/>
      <c r="F243" s="43"/>
      <c r="G243" s="42"/>
      <c r="H243" s="43"/>
      <c r="I243" s="42"/>
      <c r="J243" s="43"/>
      <c r="K243" s="42"/>
      <c r="L243" s="43"/>
      <c r="M243" s="37"/>
      <c r="N243" s="37"/>
    </row>
    <row r="244" spans="1:14" ht="14.25" thickTop="1" thickBot="1">
      <c r="A244" s="41"/>
      <c r="B244" s="118"/>
      <c r="C244" s="42"/>
      <c r="D244" s="43"/>
      <c r="E244" s="42"/>
      <c r="F244" s="43"/>
      <c r="G244" s="42"/>
      <c r="H244" s="43"/>
      <c r="I244" s="42"/>
      <c r="J244" s="43"/>
      <c r="K244" s="42"/>
      <c r="L244" s="43"/>
      <c r="M244" s="37"/>
      <c r="N244" s="37"/>
    </row>
    <row r="245" spans="1:14" ht="14.25" thickTop="1" thickBot="1">
      <c r="A245" s="41"/>
      <c r="B245" s="118"/>
      <c r="C245" s="42"/>
      <c r="D245" s="43"/>
      <c r="E245" s="42"/>
      <c r="F245" s="43"/>
      <c r="G245" s="42"/>
      <c r="H245" s="43"/>
      <c r="I245" s="42"/>
      <c r="J245" s="43"/>
      <c r="K245" s="42"/>
      <c r="L245" s="43"/>
      <c r="M245" s="37"/>
      <c r="N245" s="37"/>
    </row>
    <row r="246" spans="1:14" ht="14.25" thickTop="1" thickBot="1">
      <c r="A246" s="41"/>
      <c r="B246" s="118"/>
      <c r="C246" s="42"/>
      <c r="D246" s="43"/>
      <c r="E246" s="42"/>
      <c r="F246" s="43"/>
      <c r="G246" s="42"/>
      <c r="H246" s="43"/>
      <c r="I246" s="42"/>
      <c r="J246" s="43"/>
      <c r="K246" s="42"/>
      <c r="L246" s="43"/>
      <c r="M246" s="37"/>
      <c r="N246" s="37"/>
    </row>
    <row r="247" spans="1:14" s="36" customFormat="1" ht="14.25" thickTop="1" thickBot="1">
      <c r="A247" s="37"/>
      <c r="B247" s="117"/>
      <c r="C247" s="39"/>
      <c r="D247" s="40"/>
      <c r="E247" s="39"/>
      <c r="F247" s="40"/>
      <c r="G247" s="39"/>
      <c r="H247" s="40"/>
      <c r="I247" s="39"/>
      <c r="J247" s="40"/>
      <c r="K247" s="39"/>
      <c r="L247" s="40"/>
      <c r="M247" s="37"/>
      <c r="N247" s="37"/>
    </row>
    <row r="248" spans="1:14" ht="14.25" thickTop="1" thickBot="1">
      <c r="A248" s="41"/>
      <c r="B248" s="118"/>
      <c r="C248" s="42"/>
      <c r="D248" s="43"/>
      <c r="E248" s="42"/>
      <c r="F248" s="43"/>
      <c r="G248" s="42"/>
      <c r="H248" s="43"/>
      <c r="I248" s="42"/>
      <c r="J248" s="43"/>
      <c r="K248" s="42"/>
      <c r="L248" s="43"/>
      <c r="M248" s="37"/>
      <c r="N248" s="37"/>
    </row>
    <row r="249" spans="1:14" ht="14.25" thickTop="1" thickBot="1">
      <c r="A249" s="41"/>
      <c r="B249" s="118"/>
      <c r="C249" s="42"/>
      <c r="D249" s="43"/>
      <c r="E249" s="42"/>
      <c r="F249" s="43"/>
      <c r="G249" s="42"/>
      <c r="H249" s="43"/>
      <c r="I249" s="42"/>
      <c r="J249" s="43"/>
      <c r="K249" s="42"/>
      <c r="L249" s="43"/>
      <c r="M249" s="37"/>
      <c r="N249" s="37"/>
    </row>
    <row r="250" spans="1:14" ht="14.25" thickTop="1" thickBot="1">
      <c r="A250" s="41"/>
      <c r="B250" s="118"/>
      <c r="C250" s="42"/>
      <c r="D250" s="43"/>
      <c r="E250" s="42"/>
      <c r="F250" s="43"/>
      <c r="G250" s="42"/>
      <c r="H250" s="43"/>
      <c r="I250" s="42"/>
      <c r="J250" s="43"/>
      <c r="K250" s="42"/>
      <c r="L250" s="43"/>
      <c r="M250" s="37"/>
      <c r="N250" s="37"/>
    </row>
    <row r="251" spans="1:14" ht="14.25" thickTop="1" thickBot="1">
      <c r="A251" s="41"/>
      <c r="B251" s="118"/>
      <c r="C251" s="42"/>
      <c r="D251" s="43"/>
      <c r="E251" s="42"/>
      <c r="F251" s="43"/>
      <c r="G251" s="42"/>
      <c r="H251" s="43"/>
      <c r="I251" s="42"/>
      <c r="J251" s="43"/>
      <c r="K251" s="42"/>
      <c r="L251" s="43"/>
      <c r="M251" s="37"/>
      <c r="N251" s="37"/>
    </row>
    <row r="252" spans="1:14" ht="14.25" thickTop="1" thickBot="1">
      <c r="A252" s="41"/>
      <c r="B252" s="118"/>
      <c r="C252" s="42"/>
      <c r="D252" s="43"/>
      <c r="E252" s="42"/>
      <c r="F252" s="43"/>
      <c r="G252" s="42"/>
      <c r="H252" s="43"/>
      <c r="I252" s="42"/>
      <c r="J252" s="43"/>
      <c r="K252" s="42"/>
      <c r="L252" s="43"/>
      <c r="M252" s="37"/>
      <c r="N252" s="37"/>
    </row>
    <row r="253" spans="1:14" ht="14.25" thickTop="1" thickBot="1">
      <c r="A253" s="41"/>
      <c r="B253" s="118"/>
      <c r="C253" s="42"/>
      <c r="D253" s="43"/>
      <c r="E253" s="42"/>
      <c r="F253" s="43"/>
      <c r="G253" s="42"/>
      <c r="H253" s="43"/>
      <c r="I253" s="42"/>
      <c r="J253" s="43"/>
      <c r="K253" s="42"/>
      <c r="L253" s="43"/>
      <c r="M253" s="37"/>
      <c r="N253" s="37"/>
    </row>
    <row r="254" spans="1:14" s="36" customFormat="1" ht="14.25" thickTop="1" thickBot="1">
      <c r="A254" s="37"/>
      <c r="B254" s="117"/>
      <c r="C254" s="39"/>
      <c r="D254" s="40"/>
      <c r="E254" s="39"/>
      <c r="F254" s="40"/>
      <c r="G254" s="39"/>
      <c r="H254" s="40"/>
      <c r="I254" s="39"/>
      <c r="J254" s="40"/>
      <c r="K254" s="39"/>
      <c r="L254" s="40"/>
      <c r="M254" s="37"/>
      <c r="N254" s="37"/>
    </row>
    <row r="255" spans="1:14" ht="14.25" thickTop="1" thickBot="1">
      <c r="A255" s="41"/>
      <c r="B255" s="118"/>
      <c r="C255" s="42"/>
      <c r="D255" s="43"/>
      <c r="E255" s="42"/>
      <c r="F255" s="43"/>
      <c r="G255" s="42"/>
      <c r="H255" s="43"/>
      <c r="I255" s="42"/>
      <c r="J255" s="43"/>
      <c r="K255" s="42"/>
      <c r="L255" s="43"/>
      <c r="M255" s="37"/>
      <c r="N255" s="37"/>
    </row>
    <row r="256" spans="1:14" ht="14.25" thickTop="1" thickBot="1">
      <c r="A256" s="41"/>
      <c r="B256" s="118"/>
      <c r="C256" s="42"/>
      <c r="D256" s="43"/>
      <c r="E256" s="42"/>
      <c r="F256" s="43"/>
      <c r="G256" s="42"/>
      <c r="H256" s="43"/>
      <c r="I256" s="42"/>
      <c r="J256" s="43"/>
      <c r="K256" s="42"/>
      <c r="L256" s="43"/>
      <c r="M256" s="37"/>
      <c r="N256" s="37"/>
    </row>
    <row r="257" spans="1:14" ht="14.25" thickTop="1" thickBot="1">
      <c r="A257" s="41"/>
      <c r="B257" s="118"/>
      <c r="C257" s="42"/>
      <c r="D257" s="43"/>
      <c r="E257" s="42"/>
      <c r="F257" s="43"/>
      <c r="G257" s="42"/>
      <c r="H257" s="43"/>
      <c r="I257" s="42"/>
      <c r="J257" s="43"/>
      <c r="K257" s="42"/>
      <c r="L257" s="43"/>
      <c r="M257" s="37"/>
      <c r="N257" s="37"/>
    </row>
    <row r="258" spans="1:14" ht="14.25" thickTop="1" thickBot="1">
      <c r="A258" s="41"/>
      <c r="B258" s="118"/>
      <c r="C258" s="42"/>
      <c r="D258" s="43"/>
      <c r="E258" s="42"/>
      <c r="F258" s="43"/>
      <c r="G258" s="42"/>
      <c r="H258" s="43"/>
      <c r="I258" s="42"/>
      <c r="J258" s="43"/>
      <c r="K258" s="42"/>
      <c r="L258" s="43"/>
      <c r="M258" s="37"/>
      <c r="N258" s="37"/>
    </row>
    <row r="259" spans="1:14" ht="14.25" thickTop="1" thickBot="1">
      <c r="A259" s="41"/>
      <c r="B259" s="118"/>
      <c r="C259" s="42"/>
      <c r="D259" s="43"/>
      <c r="E259" s="42"/>
      <c r="F259" s="43"/>
      <c r="G259" s="42"/>
      <c r="H259" s="43"/>
      <c r="I259" s="42"/>
      <c r="J259" s="43"/>
      <c r="K259" s="42"/>
      <c r="L259" s="43"/>
      <c r="M259" s="37"/>
      <c r="N259" s="37"/>
    </row>
    <row r="260" spans="1:14" ht="14.25" thickTop="1" thickBot="1">
      <c r="A260" s="41"/>
      <c r="B260" s="118"/>
      <c r="C260" s="42"/>
      <c r="D260" s="43"/>
      <c r="E260" s="42"/>
      <c r="F260" s="43"/>
      <c r="G260" s="42"/>
      <c r="H260" s="43"/>
      <c r="I260" s="42"/>
      <c r="J260" s="43"/>
      <c r="K260" s="42"/>
      <c r="L260" s="43"/>
      <c r="M260" s="37"/>
      <c r="N260" s="37"/>
    </row>
    <row r="261" spans="1:14" s="36" customFormat="1" ht="14.25" thickTop="1" thickBot="1">
      <c r="A261" s="37"/>
      <c r="B261" s="117"/>
      <c r="C261" s="39"/>
      <c r="D261" s="40"/>
      <c r="E261" s="39"/>
      <c r="F261" s="40"/>
      <c r="G261" s="39"/>
      <c r="H261" s="40"/>
      <c r="I261" s="39"/>
      <c r="J261" s="40"/>
      <c r="K261" s="39"/>
      <c r="L261" s="40"/>
      <c r="M261" s="37"/>
      <c r="N261" s="37"/>
    </row>
    <row r="262" spans="1:14" ht="14.25" thickTop="1" thickBot="1">
      <c r="A262" s="41"/>
      <c r="B262" s="118"/>
      <c r="C262" s="42"/>
      <c r="D262" s="43"/>
      <c r="E262" s="42"/>
      <c r="F262" s="43"/>
      <c r="G262" s="42"/>
      <c r="H262" s="43"/>
      <c r="I262" s="42"/>
      <c r="J262" s="43"/>
      <c r="K262" s="42"/>
      <c r="L262" s="43"/>
      <c r="M262" s="37"/>
      <c r="N262" s="37"/>
    </row>
    <row r="263" spans="1:14" ht="14.25" thickTop="1" thickBot="1">
      <c r="A263" s="41"/>
      <c r="B263" s="118"/>
      <c r="C263" s="42"/>
      <c r="D263" s="43"/>
      <c r="E263" s="42"/>
      <c r="F263" s="43"/>
      <c r="G263" s="42"/>
      <c r="H263" s="43"/>
      <c r="I263" s="42"/>
      <c r="J263" s="43"/>
      <c r="K263" s="42"/>
      <c r="L263" s="43"/>
      <c r="M263" s="37"/>
      <c r="N263" s="37"/>
    </row>
    <row r="264" spans="1:14" ht="14.25" thickTop="1" thickBot="1">
      <c r="A264" s="41"/>
      <c r="B264" s="118"/>
      <c r="C264" s="42"/>
      <c r="D264" s="43"/>
      <c r="E264" s="42"/>
      <c r="F264" s="43"/>
      <c r="G264" s="42"/>
      <c r="H264" s="43"/>
      <c r="I264" s="42"/>
      <c r="J264" s="43"/>
      <c r="K264" s="42"/>
      <c r="L264" s="43"/>
      <c r="M264" s="37"/>
      <c r="N264" s="37"/>
    </row>
    <row r="265" spans="1:14" ht="14.25" thickTop="1" thickBot="1">
      <c r="A265" s="41"/>
      <c r="B265" s="118"/>
      <c r="C265" s="42"/>
      <c r="D265" s="43"/>
      <c r="E265" s="42"/>
      <c r="F265" s="43"/>
      <c r="G265" s="42"/>
      <c r="H265" s="43"/>
      <c r="I265" s="42"/>
      <c r="J265" s="43"/>
      <c r="K265" s="42"/>
      <c r="L265" s="43"/>
      <c r="M265" s="37"/>
      <c r="N265" s="37"/>
    </row>
    <row r="266" spans="1:14" ht="14.25" thickTop="1" thickBot="1">
      <c r="A266" s="41"/>
      <c r="B266" s="118"/>
      <c r="C266" s="42"/>
      <c r="D266" s="43"/>
      <c r="E266" s="42"/>
      <c r="F266" s="43"/>
      <c r="G266" s="42"/>
      <c r="H266" s="43"/>
      <c r="I266" s="42"/>
      <c r="J266" s="43"/>
      <c r="K266" s="42"/>
      <c r="L266" s="43"/>
      <c r="M266" s="37"/>
      <c r="N266" s="37"/>
    </row>
    <row r="267" spans="1:14" ht="14.25" thickTop="1" thickBot="1">
      <c r="A267" s="41"/>
      <c r="B267" s="118"/>
      <c r="C267" s="42"/>
      <c r="D267" s="43"/>
      <c r="E267" s="42"/>
      <c r="F267" s="43"/>
      <c r="G267" s="42"/>
      <c r="H267" s="43"/>
      <c r="I267" s="42"/>
      <c r="J267" s="43"/>
      <c r="K267" s="42"/>
      <c r="L267" s="43"/>
      <c r="M267" s="37"/>
      <c r="N267" s="37"/>
    </row>
    <row r="268" spans="1:14" s="36" customFormat="1" ht="14.25" thickTop="1" thickBot="1">
      <c r="A268" s="37"/>
      <c r="B268" s="117"/>
      <c r="C268" s="39"/>
      <c r="D268" s="40"/>
      <c r="E268" s="39"/>
      <c r="F268" s="40"/>
      <c r="G268" s="39"/>
      <c r="H268" s="40"/>
      <c r="I268" s="39"/>
      <c r="J268" s="40"/>
      <c r="K268" s="39"/>
      <c r="L268" s="40"/>
      <c r="M268" s="37"/>
      <c r="N268" s="37"/>
    </row>
    <row r="269" spans="1:14" ht="14.25" thickTop="1" thickBot="1">
      <c r="A269" s="41"/>
      <c r="B269" s="118"/>
      <c r="C269" s="42"/>
      <c r="D269" s="43"/>
      <c r="E269" s="42"/>
      <c r="F269" s="43"/>
      <c r="G269" s="42"/>
      <c r="H269" s="43"/>
      <c r="I269" s="42"/>
      <c r="J269" s="43"/>
      <c r="K269" s="42"/>
      <c r="L269" s="43"/>
      <c r="M269" s="37"/>
      <c r="N269" s="37"/>
    </row>
    <row r="270" spans="1:14" ht="14.25" thickTop="1" thickBot="1">
      <c r="A270" s="41"/>
      <c r="B270" s="118"/>
      <c r="C270" s="42"/>
      <c r="D270" s="43"/>
      <c r="E270" s="42"/>
      <c r="F270" s="43"/>
      <c r="G270" s="42"/>
      <c r="H270" s="43"/>
      <c r="I270" s="42"/>
      <c r="J270" s="43"/>
      <c r="K270" s="42"/>
      <c r="L270" s="43"/>
      <c r="M270" s="37"/>
      <c r="N270" s="37"/>
    </row>
    <row r="271" spans="1:14" ht="14.25" thickTop="1" thickBot="1">
      <c r="A271" s="41"/>
      <c r="B271" s="118"/>
      <c r="C271" s="42"/>
      <c r="D271" s="43"/>
      <c r="E271" s="42"/>
      <c r="F271" s="43"/>
      <c r="G271" s="42"/>
      <c r="H271" s="43"/>
      <c r="I271" s="42"/>
      <c r="J271" s="43"/>
      <c r="K271" s="42"/>
      <c r="L271" s="43"/>
      <c r="M271" s="37"/>
      <c r="N271" s="37"/>
    </row>
    <row r="272" spans="1:14" ht="14.25" thickTop="1" thickBot="1">
      <c r="A272" s="41"/>
      <c r="B272" s="118"/>
      <c r="C272" s="42"/>
      <c r="D272" s="43"/>
      <c r="E272" s="42"/>
      <c r="F272" s="43"/>
      <c r="G272" s="42"/>
      <c r="H272" s="43"/>
      <c r="I272" s="42"/>
      <c r="J272" s="43"/>
      <c r="K272" s="42"/>
      <c r="L272" s="43"/>
      <c r="M272" s="37"/>
      <c r="N272" s="37"/>
    </row>
    <row r="273" spans="1:14" ht="14.25" thickTop="1" thickBot="1">
      <c r="A273" s="41"/>
      <c r="B273" s="118"/>
      <c r="C273" s="42"/>
      <c r="D273" s="43"/>
      <c r="E273" s="42"/>
      <c r="F273" s="43"/>
      <c r="G273" s="42"/>
      <c r="H273" s="43"/>
      <c r="I273" s="42"/>
      <c r="J273" s="43"/>
      <c r="K273" s="42"/>
      <c r="L273" s="43"/>
      <c r="M273" s="37"/>
      <c r="N273" s="37"/>
    </row>
    <row r="274" spans="1:14" ht="14.25" thickTop="1" thickBot="1">
      <c r="A274" s="41"/>
      <c r="B274" s="118"/>
      <c r="C274" s="42"/>
      <c r="D274" s="43"/>
      <c r="E274" s="42"/>
      <c r="F274" s="43"/>
      <c r="G274" s="42"/>
      <c r="H274" s="43"/>
      <c r="I274" s="42"/>
      <c r="J274" s="43"/>
      <c r="K274" s="42"/>
      <c r="L274" s="43"/>
      <c r="M274" s="37"/>
      <c r="N274" s="37"/>
    </row>
    <row r="275" spans="1:14" s="36" customFormat="1" ht="14.25" thickTop="1" thickBot="1">
      <c r="A275" s="37"/>
      <c r="B275" s="117"/>
      <c r="C275" s="39"/>
      <c r="D275" s="40"/>
      <c r="E275" s="39"/>
      <c r="F275" s="40"/>
      <c r="G275" s="39"/>
      <c r="H275" s="40"/>
      <c r="I275" s="39"/>
      <c r="J275" s="40"/>
      <c r="K275" s="39"/>
      <c r="L275" s="40"/>
      <c r="M275" s="37"/>
      <c r="N275" s="37"/>
    </row>
    <row r="276" spans="1:14" ht="14.25" thickTop="1" thickBot="1">
      <c r="A276" s="41"/>
      <c r="B276" s="118"/>
      <c r="C276" s="42"/>
      <c r="D276" s="43"/>
      <c r="E276" s="42"/>
      <c r="F276" s="43"/>
      <c r="G276" s="42"/>
      <c r="H276" s="43"/>
      <c r="I276" s="42"/>
      <c r="J276" s="43"/>
      <c r="K276" s="42"/>
      <c r="L276" s="43"/>
      <c r="M276" s="37"/>
      <c r="N276" s="37"/>
    </row>
    <row r="277" spans="1:14" ht="14.25" thickTop="1" thickBot="1">
      <c r="A277" s="41"/>
      <c r="B277" s="118"/>
      <c r="C277" s="42"/>
      <c r="D277" s="43"/>
      <c r="E277" s="42"/>
      <c r="F277" s="43"/>
      <c r="G277" s="42"/>
      <c r="H277" s="43"/>
      <c r="I277" s="42"/>
      <c r="J277" s="43"/>
      <c r="K277" s="42"/>
      <c r="L277" s="43"/>
      <c r="M277" s="37"/>
      <c r="N277" s="37"/>
    </row>
    <row r="278" spans="1:14" ht="14.25" thickTop="1" thickBot="1">
      <c r="A278" s="41"/>
      <c r="B278" s="118"/>
      <c r="C278" s="42"/>
      <c r="D278" s="43"/>
      <c r="E278" s="42"/>
      <c r="F278" s="43"/>
      <c r="G278" s="42"/>
      <c r="H278" s="43"/>
      <c r="I278" s="42"/>
      <c r="J278" s="43"/>
      <c r="K278" s="42"/>
      <c r="L278" s="43"/>
      <c r="M278" s="37"/>
      <c r="N278" s="37"/>
    </row>
    <row r="279" spans="1:14" ht="14.25" thickTop="1" thickBot="1">
      <c r="A279" s="41"/>
      <c r="B279" s="118"/>
      <c r="C279" s="42"/>
      <c r="D279" s="43"/>
      <c r="E279" s="42"/>
      <c r="F279" s="43"/>
      <c r="G279" s="42"/>
      <c r="H279" s="43"/>
      <c r="I279" s="42"/>
      <c r="J279" s="43"/>
      <c r="K279" s="42"/>
      <c r="L279" s="43"/>
      <c r="M279" s="37"/>
      <c r="N279" s="37"/>
    </row>
    <row r="280" spans="1:14" ht="14.25" thickTop="1" thickBot="1">
      <c r="A280" s="41"/>
      <c r="B280" s="118"/>
      <c r="C280" s="42"/>
      <c r="D280" s="43"/>
      <c r="E280" s="42"/>
      <c r="F280" s="43"/>
      <c r="G280" s="42"/>
      <c r="H280" s="43"/>
      <c r="I280" s="42"/>
      <c r="J280" s="43"/>
      <c r="K280" s="42"/>
      <c r="L280" s="43"/>
      <c r="M280" s="37"/>
      <c r="N280" s="37"/>
    </row>
    <row r="281" spans="1:14" ht="14.25" thickTop="1" thickBot="1">
      <c r="A281" s="41"/>
      <c r="B281" s="118"/>
      <c r="C281" s="42"/>
      <c r="D281" s="43"/>
      <c r="E281" s="42"/>
      <c r="F281" s="43"/>
      <c r="G281" s="42"/>
      <c r="H281" s="43"/>
      <c r="I281" s="42"/>
      <c r="J281" s="43"/>
      <c r="K281" s="42"/>
      <c r="L281" s="43"/>
      <c r="M281" s="37"/>
      <c r="N281" s="37"/>
    </row>
    <row r="282" spans="1:14" ht="13.5" thickTop="1">
      <c r="A282"/>
      <c r="B282" s="98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>
      <c r="A283"/>
      <c r="B283" s="98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>
      <c r="A284"/>
      <c r="B284" s="98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>
      <c r="A285"/>
      <c r="B285" s="98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>
      <c r="A286"/>
      <c r="B286" s="98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>
      <c r="A287"/>
      <c r="B287" s="98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s="36" customFormat="1">
      <c r="A288"/>
      <c r="B288" s="9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>
      <c r="A289"/>
      <c r="B289" s="98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>
      <c r="A290"/>
      <c r="B290" s="98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>
      <c r="A291"/>
      <c r="B291" s="98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>
      <c r="A292"/>
      <c r="B292" s="98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>
      <c r="A293"/>
      <c r="B293" s="98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>
      <c r="A294"/>
      <c r="B294" s="98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s="36" customFormat="1">
      <c r="A295"/>
      <c r="B295" s="98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>
      <c r="A296"/>
      <c r="B296" s="98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>
      <c r="A297"/>
      <c r="B297" s="98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>
      <c r="A298"/>
      <c r="B298" s="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>
      <c r="A299"/>
      <c r="B299" s="98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>
      <c r="A300"/>
      <c r="B300" s="98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>
      <c r="A301"/>
      <c r="B301" s="98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s="36" customFormat="1">
      <c r="A302"/>
      <c r="B302" s="98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>
      <c r="A303"/>
      <c r="B303" s="98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>
      <c r="A304"/>
      <c r="B304" s="98"/>
      <c r="C304"/>
      <c r="D304"/>
      <c r="E304"/>
      <c r="F304"/>
      <c r="G304"/>
      <c r="H304"/>
      <c r="I304"/>
      <c r="J304"/>
      <c r="K304"/>
      <c r="L304"/>
      <c r="M304"/>
      <c r="N304"/>
    </row>
    <row r="305" spans="2:2" customFormat="1">
      <c r="B305" s="98"/>
    </row>
    <row r="306" spans="2:2" customFormat="1">
      <c r="B306" s="98"/>
    </row>
    <row r="307" spans="2:2" customFormat="1">
      <c r="B307" s="98"/>
    </row>
    <row r="308" spans="2:2" customFormat="1">
      <c r="B308" s="98"/>
    </row>
    <row r="309" spans="2:2" customFormat="1">
      <c r="B309" s="98"/>
    </row>
    <row r="310" spans="2:2" customFormat="1">
      <c r="B310" s="98"/>
    </row>
    <row r="311" spans="2:2" customFormat="1">
      <c r="B311" s="98"/>
    </row>
    <row r="312" spans="2:2" customFormat="1">
      <c r="B312" s="98"/>
    </row>
    <row r="313" spans="2:2" customFormat="1">
      <c r="B313" s="98"/>
    </row>
    <row r="314" spans="2:2" customFormat="1">
      <c r="B314" s="98"/>
    </row>
    <row r="315" spans="2:2" customFormat="1">
      <c r="B315" s="98"/>
    </row>
    <row r="316" spans="2:2" customFormat="1">
      <c r="B316" s="98"/>
    </row>
    <row r="317" spans="2:2" customFormat="1">
      <c r="B317" s="98"/>
    </row>
  </sheetData>
  <mergeCells count="1">
    <mergeCell ref="C1:N1"/>
  </mergeCells>
  <phoneticPr fontId="3" type="noConversion"/>
  <pageMargins left="0.75" right="0.75" top="1" bottom="1" header="0.5" footer="0.5"/>
  <pageSetup paperSize="9" scale="79" orientation="portrait" horizontalDpi="4294967294" r:id="rId1"/>
  <headerFooter alignWithMargins="0">
    <oddFooter>Strona &amp;P</oddFooter>
  </headerFooter>
  <rowBreaks count="4" manualBreakCount="4">
    <brk id="57" max="16383" man="1"/>
    <brk id="113" max="16383" man="1"/>
    <brk id="169" max="16383" man="1"/>
    <brk id="225" max="16383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Arkusz14"/>
  <dimension ref="A1:P40"/>
  <sheetViews>
    <sheetView showGridLines="0" workbookViewId="0">
      <selection activeCell="S15" sqref="S15"/>
    </sheetView>
  </sheetViews>
  <sheetFormatPr defaultRowHeight="12.75"/>
  <cols>
    <col min="1" max="1" width="12.85546875" bestFit="1" customWidth="1"/>
    <col min="2" max="2" width="26.85546875" customWidth="1"/>
    <col min="3" max="3" width="5.85546875" bestFit="1" customWidth="1"/>
    <col min="4" max="4" width="4.7109375" bestFit="1" customWidth="1"/>
    <col min="5" max="5" width="6" bestFit="1" customWidth="1"/>
    <col min="6" max="6" width="4.7109375" bestFit="1" customWidth="1"/>
    <col min="8" max="8" width="4.7109375" bestFit="1" customWidth="1"/>
    <col min="9" max="9" width="7" bestFit="1" customWidth="1"/>
    <col min="10" max="10" width="4.7109375" bestFit="1" customWidth="1"/>
    <col min="11" max="11" width="7.140625" bestFit="1" customWidth="1"/>
    <col min="12" max="12" width="4.7109375" bestFit="1" customWidth="1"/>
    <col min="13" max="14" width="9.28515625" bestFit="1" customWidth="1"/>
    <col min="15" max="15" width="9" customWidth="1"/>
    <col min="16" max="16" width="15.7109375" hidden="1" customWidth="1"/>
  </cols>
  <sheetData>
    <row r="1" spans="1:16">
      <c r="P1" t="str">
        <f>kolejka!A1:A40</f>
        <v>SP4 Pruszków</v>
      </c>
    </row>
    <row r="2" spans="1:16" ht="26.25" customHeight="1">
      <c r="C2" s="148" t="s">
        <v>44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P2" t="str">
        <f>kolejka!A2:A41</f>
        <v>SP154 Warszawa</v>
      </c>
    </row>
    <row r="3" spans="1:16">
      <c r="P3" t="str">
        <f>kolejka!A3:A42</f>
        <v>SP9 Siedlce</v>
      </c>
    </row>
    <row r="4" spans="1:16">
      <c r="P4" t="str">
        <f>kolejka!A4:A43</f>
        <v>SP204 Warszawa</v>
      </c>
    </row>
    <row r="5" spans="1:16" ht="18">
      <c r="H5" s="153" t="s">
        <v>20</v>
      </c>
      <c r="I5" s="153"/>
      <c r="J5" s="33">
        <f>MATCH($A$13,$P:$P,0)</f>
        <v>14</v>
      </c>
      <c r="P5" t="str">
        <f>kolejka!A5:A44</f>
        <v>SP Zielonki Parcela</v>
      </c>
    </row>
    <row r="6" spans="1:16">
      <c r="P6" t="str">
        <f>kolejka!A6:A45</f>
        <v>SP8 Siedlce</v>
      </c>
    </row>
    <row r="7" spans="1:16">
      <c r="P7" t="str">
        <f>kolejka!A7:A46</f>
        <v>SP2 Zielonka</v>
      </c>
    </row>
    <row r="8" spans="1:16">
      <c r="P8" t="str">
        <f>kolejka!A8:A47</f>
        <v>SP1 Ostrów Maz</v>
      </c>
    </row>
    <row r="9" spans="1:16">
      <c r="P9" t="str">
        <f>kolejka!A9:A48</f>
        <v>SP18 Płock</v>
      </c>
    </row>
    <row r="10" spans="1:16" ht="15">
      <c r="C10" s="150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2"/>
      <c r="P10" t="str">
        <f>kolejka!A10:A49</f>
        <v>SP2 Mława</v>
      </c>
    </row>
    <row r="11" spans="1:16">
      <c r="P11" t="str">
        <f>kolejka!A11:A50</f>
        <v>SP2 Szydłowiec</v>
      </c>
    </row>
    <row r="12" spans="1:16" ht="13.5" thickBot="1">
      <c r="P12" t="str">
        <f>kolejka!A12:A51</f>
        <v xml:space="preserve">SP Jednorożec </v>
      </c>
    </row>
    <row r="13" spans="1:16" s="34" customFormat="1" ht="17.25" thickTop="1" thickBo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P13" t="str">
        <f>kolejka!A13:A52</f>
        <v>PSP24 Radom</v>
      </c>
    </row>
    <row r="14" spans="1:16" ht="25.5" customHeight="1" thickBot="1">
      <c r="A14" s="49"/>
      <c r="B14" s="50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3"/>
      <c r="N14" s="54"/>
      <c r="P14">
        <f>kolejka!A14:A53</f>
        <v>0</v>
      </c>
    </row>
    <row r="15" spans="1:16" ht="25.5" customHeight="1" thickBot="1">
      <c r="A15" s="55"/>
      <c r="B15" s="50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3"/>
      <c r="N15" s="54"/>
      <c r="P15">
        <f>kolejka!A15:A54</f>
        <v>0</v>
      </c>
    </row>
    <row r="16" spans="1:16" ht="25.5" customHeight="1" thickBot="1">
      <c r="A16" s="55"/>
      <c r="B16" s="50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3"/>
      <c r="N16" s="54"/>
      <c r="P16">
        <f>kolejka!A16:A55</f>
        <v>0</v>
      </c>
    </row>
    <row r="17" spans="1:16" ht="25.5" customHeight="1" thickBot="1">
      <c r="A17" s="49"/>
      <c r="B17" s="50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3"/>
      <c r="N17" s="54"/>
      <c r="P17">
        <f>kolejka!A17:A56</f>
        <v>0</v>
      </c>
    </row>
    <row r="18" spans="1:16" ht="25.5" customHeight="1" thickBot="1">
      <c r="A18" s="49"/>
      <c r="B18" s="50"/>
      <c r="C18" s="51"/>
      <c r="D18" s="52"/>
      <c r="E18" s="51"/>
      <c r="F18" s="52"/>
      <c r="G18" s="51"/>
      <c r="H18" s="52"/>
      <c r="I18" s="51"/>
      <c r="J18" s="52"/>
      <c r="K18" s="51"/>
      <c r="L18" s="52"/>
      <c r="M18" s="53"/>
      <c r="N18" s="54"/>
      <c r="P18">
        <f>kolejka!A18:A57</f>
        <v>0</v>
      </c>
    </row>
    <row r="19" spans="1:16" ht="25.5" customHeight="1" thickBot="1">
      <c r="A19" s="49"/>
      <c r="B19" s="50"/>
      <c r="C19" s="51"/>
      <c r="D19" s="52"/>
      <c r="E19" s="51"/>
      <c r="F19" s="52"/>
      <c r="G19" s="51"/>
      <c r="H19" s="52"/>
      <c r="I19" s="51"/>
      <c r="J19" s="52"/>
      <c r="K19" s="51"/>
      <c r="L19" s="52"/>
      <c r="M19" s="53"/>
      <c r="N19" s="54"/>
      <c r="P19">
        <f>kolejka!A19:A58</f>
        <v>0</v>
      </c>
    </row>
    <row r="20" spans="1:16">
      <c r="P20">
        <f>kolejka!A20:A59</f>
        <v>0</v>
      </c>
    </row>
    <row r="21" spans="1:16">
      <c r="P21">
        <f>kolejka!A21:A60</f>
        <v>0</v>
      </c>
    </row>
    <row r="22" spans="1:16">
      <c r="P22">
        <f>kolejka!A22:A61</f>
        <v>0</v>
      </c>
    </row>
    <row r="23" spans="1:16">
      <c r="P23">
        <f>kolejka!A23:A62</f>
        <v>0</v>
      </c>
    </row>
    <row r="24" spans="1:16">
      <c r="P24">
        <f>kolejka!A24:A63</f>
        <v>0</v>
      </c>
    </row>
    <row r="25" spans="1:16">
      <c r="P25">
        <f>kolejka!A25:A64</f>
        <v>0</v>
      </c>
    </row>
    <row r="26" spans="1:16">
      <c r="N26" s="35"/>
      <c r="P26">
        <f>kolejka!A26:A65</f>
        <v>0</v>
      </c>
    </row>
    <row r="27" spans="1:16">
      <c r="P27">
        <f>kolejka!A27:A66</f>
        <v>0</v>
      </c>
    </row>
    <row r="28" spans="1:16">
      <c r="P28">
        <f>kolejka!A28:A67</f>
        <v>0</v>
      </c>
    </row>
    <row r="29" spans="1:16">
      <c r="P29">
        <f>kolejka!A29:A68</f>
        <v>0</v>
      </c>
    </row>
    <row r="30" spans="1:16">
      <c r="P30">
        <f>kolejka!A30:A69</f>
        <v>0</v>
      </c>
    </row>
    <row r="31" spans="1:16">
      <c r="P31">
        <f>kolejka!A31:A70</f>
        <v>0</v>
      </c>
    </row>
    <row r="32" spans="1:16">
      <c r="P32">
        <f>kolejka!A32:A71</f>
        <v>0</v>
      </c>
    </row>
    <row r="33" spans="16:16">
      <c r="P33">
        <f>kolejka!A33:A72</f>
        <v>0</v>
      </c>
    </row>
    <row r="34" spans="16:16">
      <c r="P34">
        <f>kolejka!A34:A73</f>
        <v>0</v>
      </c>
    </row>
    <row r="35" spans="16:16">
      <c r="P35">
        <f>kolejka!A35:A74</f>
        <v>0</v>
      </c>
    </row>
    <row r="36" spans="16:16">
      <c r="P36">
        <f>kolejka!A36:A75</f>
        <v>0</v>
      </c>
    </row>
    <row r="37" spans="16:16">
      <c r="P37">
        <f>kolejka!A37:A76</f>
        <v>0</v>
      </c>
    </row>
    <row r="38" spans="16:16">
      <c r="P38">
        <f>kolejka!A38:A77</f>
        <v>0</v>
      </c>
    </row>
    <row r="39" spans="16:16">
      <c r="P39">
        <f>kolejka!A39:A78</f>
        <v>0</v>
      </c>
    </row>
    <row r="40" spans="16:16">
      <c r="P40">
        <f>kolejka!A40:A79</f>
        <v>0</v>
      </c>
    </row>
  </sheetData>
  <sheetCalcPr fullCalcOnLoad="1"/>
  <mergeCells count="3">
    <mergeCell ref="C2:N2"/>
    <mergeCell ref="C10:N10"/>
    <mergeCell ref="H5:I5"/>
  </mergeCells>
  <phoneticPr fontId="3" type="noConversion"/>
  <pageMargins left="0.75" right="0.75" top="1" bottom="1" header="0.5" footer="0.5"/>
  <pageSetup paperSize="9" orientation="landscape" horizontalDpi="4294967294" verticalDpi="0" r:id="rId1"/>
  <headerFooter alignWithMargins="0">
    <oddHeader>&amp;L&amp;T&amp;CNadnotecki Szkolny Związek Sportowy&amp;R&amp;D</oddHeader>
    <oddFooter>Przygotował(a) Vader &amp;D&amp;RStrona &amp;P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Arkusz11"/>
  <dimension ref="A1:L205"/>
  <sheetViews>
    <sheetView showGridLines="0" zoomScale="90" zoomScaleNormal="90" workbookViewId="0">
      <selection activeCell="B1" sqref="B1:I3"/>
    </sheetView>
  </sheetViews>
  <sheetFormatPr defaultRowHeight="12.75"/>
  <sheetData>
    <row r="1" spans="1:12" ht="15">
      <c r="A1" s="1"/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H1" s="1"/>
      <c r="I1" s="1" t="s">
        <v>5</v>
      </c>
      <c r="J1" s="2" t="s">
        <v>4</v>
      </c>
      <c r="L1" s="2" t="s">
        <v>4</v>
      </c>
    </row>
    <row r="2" spans="1:12" ht="15">
      <c r="A2" s="1"/>
      <c r="B2" s="1">
        <v>0</v>
      </c>
      <c r="C2" s="1">
        <v>0</v>
      </c>
      <c r="D2" s="1">
        <v>0</v>
      </c>
      <c r="E2" s="1"/>
      <c r="F2" s="2">
        <v>0</v>
      </c>
      <c r="H2" s="3"/>
      <c r="I2" s="3"/>
      <c r="J2" s="2"/>
      <c r="L2" s="2"/>
    </row>
    <row r="3" spans="1:12">
      <c r="B3" s="3">
        <v>210</v>
      </c>
      <c r="C3" s="3">
        <v>18</v>
      </c>
      <c r="D3">
        <f t="shared" ref="D3:D66" si="0">G3*H3</f>
        <v>-438.2</v>
      </c>
      <c r="E3" s="4">
        <v>-11.6</v>
      </c>
      <c r="F3" s="5">
        <v>1</v>
      </c>
      <c r="G3" s="4">
        <v>438.2</v>
      </c>
      <c r="H3">
        <v>-1</v>
      </c>
      <c r="I3" s="3">
        <v>206</v>
      </c>
      <c r="J3" s="5">
        <v>200</v>
      </c>
      <c r="K3">
        <v>-6.6</v>
      </c>
      <c r="L3" s="5">
        <v>200</v>
      </c>
    </row>
    <row r="4" spans="1:12">
      <c r="B4" s="3">
        <v>225</v>
      </c>
      <c r="C4" s="3">
        <v>18.5</v>
      </c>
      <c r="D4">
        <f t="shared" si="0"/>
        <v>-436.4</v>
      </c>
      <c r="E4" s="4">
        <v>-11.45</v>
      </c>
      <c r="F4" s="5">
        <v>2</v>
      </c>
      <c r="G4" s="4">
        <v>436.4</v>
      </c>
      <c r="H4">
        <v>-1</v>
      </c>
      <c r="I4" s="3"/>
      <c r="J4" s="5">
        <v>199</v>
      </c>
      <c r="L4" s="5">
        <v>199</v>
      </c>
    </row>
    <row r="5" spans="1:12">
      <c r="B5" s="3">
        <v>240</v>
      </c>
      <c r="C5" s="3">
        <v>19</v>
      </c>
      <c r="D5">
        <f t="shared" si="0"/>
        <v>-434.6</v>
      </c>
      <c r="E5" s="4">
        <v>-11.3</v>
      </c>
      <c r="F5" s="5">
        <v>3</v>
      </c>
      <c r="G5" s="4">
        <v>434.6</v>
      </c>
      <c r="H5">
        <v>-1</v>
      </c>
      <c r="I5" s="3">
        <v>205</v>
      </c>
      <c r="J5" s="5">
        <v>198</v>
      </c>
      <c r="L5" s="5">
        <v>198</v>
      </c>
    </row>
    <row r="6" spans="1:12">
      <c r="B6" s="3">
        <v>250</v>
      </c>
      <c r="C6" s="3">
        <v>19.5</v>
      </c>
      <c r="D6">
        <f t="shared" si="0"/>
        <v>-432.8</v>
      </c>
      <c r="E6" s="4">
        <v>-11.2</v>
      </c>
      <c r="F6" s="5">
        <v>4</v>
      </c>
      <c r="G6" s="4">
        <v>432.8</v>
      </c>
      <c r="H6">
        <v>-1</v>
      </c>
      <c r="I6" s="3"/>
      <c r="J6" s="5">
        <v>197</v>
      </c>
      <c r="L6" s="5">
        <v>197</v>
      </c>
    </row>
    <row r="7" spans="1:12">
      <c r="B7" s="3">
        <v>260</v>
      </c>
      <c r="C7" s="3">
        <v>20</v>
      </c>
      <c r="D7">
        <f t="shared" si="0"/>
        <v>-431</v>
      </c>
      <c r="E7" s="4">
        <v>-11.15</v>
      </c>
      <c r="F7" s="5">
        <v>5</v>
      </c>
      <c r="G7" s="4">
        <v>431</v>
      </c>
      <c r="H7">
        <v>-1</v>
      </c>
      <c r="I7" s="3">
        <v>204</v>
      </c>
      <c r="J7" s="5">
        <v>196</v>
      </c>
      <c r="L7" s="5">
        <v>196</v>
      </c>
    </row>
    <row r="8" spans="1:12">
      <c r="B8" s="3">
        <v>268</v>
      </c>
      <c r="C8" s="3">
        <v>20.5</v>
      </c>
      <c r="D8">
        <f t="shared" si="0"/>
        <v>-429.2</v>
      </c>
      <c r="E8" s="4">
        <v>-11.1</v>
      </c>
      <c r="F8" s="5">
        <v>6</v>
      </c>
      <c r="G8" s="4">
        <v>429.2</v>
      </c>
      <c r="H8">
        <v>-1</v>
      </c>
      <c r="I8" s="3"/>
      <c r="J8" s="5">
        <v>195</v>
      </c>
      <c r="K8">
        <v>-6.7</v>
      </c>
      <c r="L8" s="5">
        <v>195</v>
      </c>
    </row>
    <row r="9" spans="1:12">
      <c r="B9" s="3">
        <v>276</v>
      </c>
      <c r="C9" s="3">
        <v>21</v>
      </c>
      <c r="D9">
        <f t="shared" si="0"/>
        <v>-427.4</v>
      </c>
      <c r="E9" s="4">
        <v>-11.05</v>
      </c>
      <c r="F9" s="5">
        <v>7</v>
      </c>
      <c r="G9" s="4">
        <v>427.4</v>
      </c>
      <c r="H9">
        <v>-1</v>
      </c>
      <c r="I9" s="3">
        <v>203</v>
      </c>
      <c r="J9" s="5">
        <v>194</v>
      </c>
      <c r="L9" s="5">
        <v>194</v>
      </c>
    </row>
    <row r="10" spans="1:12">
      <c r="B10" s="3">
        <v>283</v>
      </c>
      <c r="C10" s="3">
        <v>21.5</v>
      </c>
      <c r="D10">
        <f t="shared" si="0"/>
        <v>-426.6</v>
      </c>
      <c r="E10" s="4">
        <v>-11</v>
      </c>
      <c r="F10" s="5">
        <v>8</v>
      </c>
      <c r="G10" s="4">
        <v>426.6</v>
      </c>
      <c r="H10">
        <v>-1</v>
      </c>
      <c r="I10" s="3"/>
      <c r="J10" s="5">
        <v>193</v>
      </c>
      <c r="L10" s="5">
        <v>193</v>
      </c>
    </row>
    <row r="11" spans="1:12">
      <c r="B11" s="3">
        <v>290</v>
      </c>
      <c r="C11" s="3">
        <v>22</v>
      </c>
      <c r="D11">
        <f t="shared" si="0"/>
        <v>-424.8</v>
      </c>
      <c r="E11" s="4">
        <v>-10.95</v>
      </c>
      <c r="F11" s="5">
        <v>9</v>
      </c>
      <c r="G11" s="4">
        <v>424.8</v>
      </c>
      <c r="H11">
        <v>-1</v>
      </c>
      <c r="I11" s="3">
        <v>202</v>
      </c>
      <c r="J11" s="5">
        <v>192</v>
      </c>
      <c r="L11" s="5">
        <v>192</v>
      </c>
    </row>
    <row r="12" spans="1:12">
      <c r="B12" s="3">
        <v>297</v>
      </c>
      <c r="C12" s="3">
        <v>22.5</v>
      </c>
      <c r="D12">
        <f t="shared" si="0"/>
        <v>-423</v>
      </c>
      <c r="E12" s="4">
        <v>-10.9</v>
      </c>
      <c r="F12" s="5">
        <v>10</v>
      </c>
      <c r="G12" s="4">
        <v>423</v>
      </c>
      <c r="H12">
        <v>-1</v>
      </c>
      <c r="I12" s="3"/>
      <c r="J12" s="5">
        <v>191</v>
      </c>
      <c r="L12" s="5">
        <v>191</v>
      </c>
    </row>
    <row r="13" spans="1:12">
      <c r="B13" s="3">
        <v>302</v>
      </c>
      <c r="C13" s="3">
        <v>23</v>
      </c>
      <c r="D13">
        <f t="shared" si="0"/>
        <v>-421.2</v>
      </c>
      <c r="E13" s="4">
        <v>-10.85</v>
      </c>
      <c r="F13" s="5">
        <v>11</v>
      </c>
      <c r="G13" s="4">
        <v>421.2</v>
      </c>
      <c r="H13">
        <v>-1</v>
      </c>
      <c r="I13" s="3">
        <v>201</v>
      </c>
      <c r="J13" s="5">
        <v>190</v>
      </c>
      <c r="L13" s="5">
        <v>190</v>
      </c>
    </row>
    <row r="14" spans="1:12">
      <c r="B14" s="3">
        <v>307</v>
      </c>
      <c r="C14" s="3">
        <v>23.5</v>
      </c>
      <c r="D14">
        <f t="shared" si="0"/>
        <v>-419.4</v>
      </c>
      <c r="E14" s="4">
        <v>-10.8</v>
      </c>
      <c r="F14" s="5">
        <v>12</v>
      </c>
      <c r="G14" s="4">
        <v>419.4</v>
      </c>
      <c r="H14">
        <v>-1</v>
      </c>
      <c r="I14" s="3"/>
      <c r="J14" s="5">
        <v>189</v>
      </c>
      <c r="L14" s="5">
        <v>189</v>
      </c>
    </row>
    <row r="15" spans="1:12">
      <c r="B15" s="3">
        <v>312</v>
      </c>
      <c r="C15" s="3">
        <v>24</v>
      </c>
      <c r="D15">
        <f t="shared" si="0"/>
        <v>-417.6</v>
      </c>
      <c r="E15" s="4">
        <v>-10.75</v>
      </c>
      <c r="F15" s="5">
        <v>13</v>
      </c>
      <c r="G15" s="4">
        <v>417.6</v>
      </c>
      <c r="H15">
        <v>-1</v>
      </c>
      <c r="I15" s="3">
        <v>200</v>
      </c>
      <c r="J15" s="5">
        <v>188</v>
      </c>
      <c r="L15" s="5">
        <v>188</v>
      </c>
    </row>
    <row r="16" spans="1:12">
      <c r="B16" s="3">
        <v>317</v>
      </c>
      <c r="C16" s="3">
        <v>24.5</v>
      </c>
      <c r="D16">
        <f t="shared" si="0"/>
        <v>-415.8</v>
      </c>
      <c r="E16" s="4">
        <v>-10.7</v>
      </c>
      <c r="F16" s="5">
        <v>14</v>
      </c>
      <c r="G16" s="4">
        <v>415.8</v>
      </c>
      <c r="H16">
        <v>-1</v>
      </c>
      <c r="I16" s="3">
        <v>199</v>
      </c>
      <c r="J16" s="5">
        <v>187</v>
      </c>
      <c r="L16" s="5">
        <v>187</v>
      </c>
    </row>
    <row r="17" spans="2:12">
      <c r="B17" s="3">
        <v>321</v>
      </c>
      <c r="C17" s="3">
        <v>25</v>
      </c>
      <c r="D17">
        <f t="shared" si="0"/>
        <v>-414</v>
      </c>
      <c r="E17" s="4">
        <v>-10.65</v>
      </c>
      <c r="F17" s="5">
        <v>15</v>
      </c>
      <c r="G17" s="4">
        <v>414</v>
      </c>
      <c r="H17">
        <v>-1</v>
      </c>
      <c r="I17" s="3"/>
      <c r="J17" s="5">
        <v>186</v>
      </c>
      <c r="K17">
        <v>-6.8</v>
      </c>
      <c r="L17" s="5">
        <v>186</v>
      </c>
    </row>
    <row r="18" spans="2:12">
      <c r="B18" s="3">
        <v>325</v>
      </c>
      <c r="C18" s="3">
        <v>25.5</v>
      </c>
      <c r="D18">
        <f t="shared" si="0"/>
        <v>-412.2</v>
      </c>
      <c r="E18" s="4">
        <v>-10.6</v>
      </c>
      <c r="F18" s="5">
        <v>16</v>
      </c>
      <c r="G18" s="4">
        <v>412.2</v>
      </c>
      <c r="H18">
        <v>-1</v>
      </c>
      <c r="I18" s="3">
        <v>198</v>
      </c>
      <c r="J18" s="5">
        <v>185</v>
      </c>
      <c r="L18" s="5">
        <v>185</v>
      </c>
    </row>
    <row r="19" spans="2:12">
      <c r="B19" s="3">
        <v>329</v>
      </c>
      <c r="C19" s="3">
        <v>26</v>
      </c>
      <c r="D19">
        <f t="shared" si="0"/>
        <v>-410.4</v>
      </c>
      <c r="E19" s="4">
        <v>-10.55</v>
      </c>
      <c r="F19" s="5">
        <v>17</v>
      </c>
      <c r="G19" s="4">
        <v>410.4</v>
      </c>
      <c r="H19">
        <v>-1</v>
      </c>
      <c r="I19" s="3"/>
      <c r="J19" s="5">
        <v>184</v>
      </c>
      <c r="L19" s="5">
        <v>184</v>
      </c>
    </row>
    <row r="20" spans="2:12">
      <c r="B20" s="3">
        <v>333</v>
      </c>
      <c r="C20" s="3">
        <v>26.5</v>
      </c>
      <c r="D20">
        <f t="shared" si="0"/>
        <v>-408.77</v>
      </c>
      <c r="E20" s="4">
        <v>-10.5</v>
      </c>
      <c r="F20" s="5">
        <v>18</v>
      </c>
      <c r="G20" s="4">
        <v>408.77</v>
      </c>
      <c r="H20">
        <v>-1</v>
      </c>
      <c r="I20" s="3">
        <v>197</v>
      </c>
      <c r="J20" s="5">
        <v>183</v>
      </c>
      <c r="L20" s="5">
        <v>183</v>
      </c>
    </row>
    <row r="21" spans="2:12">
      <c r="B21" s="3">
        <v>337</v>
      </c>
      <c r="C21" s="3">
        <v>27</v>
      </c>
      <c r="D21">
        <f t="shared" si="0"/>
        <v>-407.57</v>
      </c>
      <c r="E21" s="4">
        <v>-10.45</v>
      </c>
      <c r="F21" s="5">
        <v>19</v>
      </c>
      <c r="G21" s="4">
        <v>407.57</v>
      </c>
      <c r="H21">
        <v>-1</v>
      </c>
      <c r="I21" s="3">
        <v>196</v>
      </c>
      <c r="J21" s="5">
        <v>182</v>
      </c>
      <c r="L21" s="5">
        <v>182</v>
      </c>
    </row>
    <row r="22" spans="2:12">
      <c r="B22" s="3">
        <v>341</v>
      </c>
      <c r="C22" s="3">
        <v>27.5</v>
      </c>
      <c r="D22">
        <f t="shared" si="0"/>
        <v>-406.37</v>
      </c>
      <c r="E22" s="4">
        <v>-10.4</v>
      </c>
      <c r="F22" s="5">
        <v>20</v>
      </c>
      <c r="G22" s="4">
        <v>406.37</v>
      </c>
      <c r="H22">
        <v>-1</v>
      </c>
      <c r="I22" s="3"/>
      <c r="J22" s="5">
        <v>181</v>
      </c>
      <c r="L22" s="5">
        <v>181</v>
      </c>
    </row>
    <row r="23" spans="2:12">
      <c r="B23" s="3">
        <v>345</v>
      </c>
      <c r="C23" s="3">
        <v>28</v>
      </c>
      <c r="D23">
        <f t="shared" si="0"/>
        <v>-405.17</v>
      </c>
      <c r="E23" s="4">
        <v>-10.35</v>
      </c>
      <c r="F23" s="5">
        <v>21</v>
      </c>
      <c r="G23" s="4">
        <v>405.17</v>
      </c>
      <c r="H23">
        <v>-1</v>
      </c>
      <c r="I23" s="3">
        <v>195</v>
      </c>
      <c r="J23" s="5">
        <v>180</v>
      </c>
      <c r="L23" s="5">
        <v>180</v>
      </c>
    </row>
    <row r="24" spans="2:12">
      <c r="B24" s="3">
        <v>349</v>
      </c>
      <c r="C24" s="3">
        <v>28.5</v>
      </c>
      <c r="D24">
        <f t="shared" si="0"/>
        <v>-404.97</v>
      </c>
      <c r="E24" s="4">
        <v>-10.3</v>
      </c>
      <c r="F24" s="5">
        <v>22</v>
      </c>
      <c r="G24" s="4">
        <v>404.97</v>
      </c>
      <c r="H24">
        <v>-1</v>
      </c>
      <c r="I24" s="3"/>
      <c r="J24" s="5">
        <v>179</v>
      </c>
      <c r="L24" s="5">
        <v>179</v>
      </c>
    </row>
    <row r="25" spans="2:12">
      <c r="B25" s="3">
        <v>353</v>
      </c>
      <c r="C25" s="3">
        <v>29</v>
      </c>
      <c r="D25">
        <f t="shared" si="0"/>
        <v>-403.77</v>
      </c>
      <c r="E25" s="4">
        <v>-10.25</v>
      </c>
      <c r="F25" s="5">
        <v>23</v>
      </c>
      <c r="G25" s="4">
        <v>403.77</v>
      </c>
      <c r="H25">
        <v>-1</v>
      </c>
      <c r="I25" s="3"/>
      <c r="J25" s="5">
        <v>178</v>
      </c>
      <c r="L25" s="5">
        <v>178</v>
      </c>
    </row>
    <row r="26" spans="2:12">
      <c r="B26" s="3">
        <v>357</v>
      </c>
      <c r="C26" s="3">
        <v>29.5</v>
      </c>
      <c r="D26">
        <f t="shared" si="0"/>
        <v>-402.57</v>
      </c>
      <c r="E26" s="4">
        <v>-10.199999999999999</v>
      </c>
      <c r="F26" s="5">
        <v>24</v>
      </c>
      <c r="G26" s="4">
        <v>402.57</v>
      </c>
      <c r="H26">
        <v>-1</v>
      </c>
      <c r="I26" s="3">
        <v>194</v>
      </c>
      <c r="J26" s="5">
        <v>177</v>
      </c>
      <c r="K26">
        <v>-6.9</v>
      </c>
      <c r="L26" s="5">
        <v>177</v>
      </c>
    </row>
    <row r="27" spans="2:12">
      <c r="B27" s="3">
        <v>360</v>
      </c>
      <c r="C27" s="3">
        <v>30</v>
      </c>
      <c r="D27">
        <f t="shared" si="0"/>
        <v>-401.37</v>
      </c>
      <c r="E27" s="4">
        <v>-10.15</v>
      </c>
      <c r="F27" s="5">
        <v>25</v>
      </c>
      <c r="G27" s="4">
        <v>401.37</v>
      </c>
      <c r="H27">
        <v>-1</v>
      </c>
      <c r="I27" s="3"/>
      <c r="J27" s="5">
        <v>176</v>
      </c>
      <c r="L27" s="5">
        <v>176</v>
      </c>
    </row>
    <row r="28" spans="2:12">
      <c r="B28" s="3">
        <v>362</v>
      </c>
      <c r="C28" s="3">
        <v>30.5</v>
      </c>
      <c r="D28">
        <f t="shared" si="0"/>
        <v>-400.17</v>
      </c>
      <c r="E28" s="4">
        <v>-10.1</v>
      </c>
      <c r="F28" s="5">
        <v>26</v>
      </c>
      <c r="G28" s="4">
        <v>400.17</v>
      </c>
      <c r="H28">
        <v>-1</v>
      </c>
      <c r="I28" s="3"/>
      <c r="J28" s="5">
        <v>175</v>
      </c>
      <c r="L28" s="5">
        <v>175</v>
      </c>
    </row>
    <row r="29" spans="2:12">
      <c r="B29" s="3">
        <v>364</v>
      </c>
      <c r="C29" s="3">
        <v>31</v>
      </c>
      <c r="D29">
        <f t="shared" si="0"/>
        <v>-358.97</v>
      </c>
      <c r="E29" s="4">
        <v>-10.050000000000001</v>
      </c>
      <c r="F29" s="5">
        <v>27</v>
      </c>
      <c r="G29" s="4">
        <v>358.97</v>
      </c>
      <c r="H29">
        <v>-1</v>
      </c>
      <c r="I29" s="3">
        <v>193</v>
      </c>
      <c r="J29" s="5">
        <v>174</v>
      </c>
      <c r="L29" s="5">
        <v>174</v>
      </c>
    </row>
    <row r="30" spans="2:12">
      <c r="B30" s="3">
        <v>366</v>
      </c>
      <c r="C30" s="3">
        <v>31.5</v>
      </c>
      <c r="D30">
        <f t="shared" si="0"/>
        <v>-357.77</v>
      </c>
      <c r="E30" s="4">
        <v>-10</v>
      </c>
      <c r="F30" s="5">
        <v>28</v>
      </c>
      <c r="G30" s="4">
        <v>357.77</v>
      </c>
      <c r="H30">
        <v>-1</v>
      </c>
      <c r="I30" s="3"/>
      <c r="J30" s="5">
        <v>173</v>
      </c>
      <c r="L30" s="5">
        <v>173</v>
      </c>
    </row>
    <row r="31" spans="2:12">
      <c r="B31" s="3">
        <v>368</v>
      </c>
      <c r="C31" s="3">
        <v>32</v>
      </c>
      <c r="D31">
        <f t="shared" si="0"/>
        <v>-356.57</v>
      </c>
      <c r="E31" s="4">
        <v>-9.9499999999999993</v>
      </c>
      <c r="F31" s="5">
        <v>29</v>
      </c>
      <c r="G31" s="4">
        <v>356.57</v>
      </c>
      <c r="H31">
        <v>-1</v>
      </c>
      <c r="I31" s="3"/>
      <c r="J31" s="5">
        <v>172</v>
      </c>
      <c r="L31" s="5">
        <v>172</v>
      </c>
    </row>
    <row r="32" spans="2:12">
      <c r="B32" s="3">
        <v>370</v>
      </c>
      <c r="C32" s="3">
        <v>32.5</v>
      </c>
      <c r="D32">
        <f t="shared" si="0"/>
        <v>-355.37</v>
      </c>
      <c r="E32" s="4">
        <v>-9.9</v>
      </c>
      <c r="F32" s="5">
        <v>30</v>
      </c>
      <c r="G32" s="4">
        <v>355.37</v>
      </c>
      <c r="H32">
        <v>-1</v>
      </c>
      <c r="I32" s="3">
        <v>192</v>
      </c>
      <c r="J32" s="5">
        <v>171</v>
      </c>
      <c r="L32" s="5">
        <v>171</v>
      </c>
    </row>
    <row r="33" spans="2:12">
      <c r="B33" s="3">
        <v>372</v>
      </c>
      <c r="C33" s="3">
        <v>33</v>
      </c>
      <c r="D33">
        <f t="shared" si="0"/>
        <v>-354.17</v>
      </c>
      <c r="E33" s="4">
        <v>-9.85</v>
      </c>
      <c r="F33" s="5">
        <v>31</v>
      </c>
      <c r="G33" s="4">
        <v>354.17</v>
      </c>
      <c r="H33">
        <v>-1</v>
      </c>
      <c r="I33" s="3"/>
      <c r="J33" s="5">
        <v>170</v>
      </c>
      <c r="L33" s="5">
        <v>170</v>
      </c>
    </row>
    <row r="34" spans="2:12">
      <c r="B34" s="3">
        <v>374</v>
      </c>
      <c r="C34" s="3">
        <v>33.5</v>
      </c>
      <c r="D34">
        <f t="shared" si="0"/>
        <v>-352.97</v>
      </c>
      <c r="E34" s="4">
        <v>-9.8000000000000007</v>
      </c>
      <c r="F34" s="5">
        <v>32</v>
      </c>
      <c r="G34" s="4">
        <v>352.97</v>
      </c>
      <c r="H34">
        <v>-1</v>
      </c>
      <c r="I34" s="3"/>
      <c r="J34" s="5">
        <v>169</v>
      </c>
      <c r="L34" s="5">
        <v>169</v>
      </c>
    </row>
    <row r="35" spans="2:12">
      <c r="B35" s="3">
        <v>376</v>
      </c>
      <c r="C35" s="3">
        <v>34</v>
      </c>
      <c r="D35">
        <f t="shared" si="0"/>
        <v>-351.77</v>
      </c>
      <c r="E35" s="4">
        <v>-9.75</v>
      </c>
      <c r="F35" s="5">
        <v>33</v>
      </c>
      <c r="G35" s="4">
        <v>351.77</v>
      </c>
      <c r="H35">
        <v>-1</v>
      </c>
      <c r="I35" s="3">
        <v>191</v>
      </c>
      <c r="J35" s="5">
        <v>168</v>
      </c>
      <c r="L35" s="5">
        <v>168</v>
      </c>
    </row>
    <row r="36" spans="2:12">
      <c r="B36" s="3">
        <v>379</v>
      </c>
      <c r="C36" s="3">
        <v>34.5</v>
      </c>
      <c r="D36">
        <f t="shared" si="0"/>
        <v>-350.57</v>
      </c>
      <c r="E36" s="4">
        <v>-9.6999999999999993</v>
      </c>
      <c r="F36" s="5">
        <v>34</v>
      </c>
      <c r="G36" s="4">
        <v>350.57</v>
      </c>
      <c r="H36">
        <v>-1</v>
      </c>
      <c r="I36" s="3"/>
      <c r="J36" s="5">
        <v>167</v>
      </c>
      <c r="L36" s="5">
        <v>167</v>
      </c>
    </row>
    <row r="37" spans="2:12">
      <c r="B37" s="3">
        <v>382</v>
      </c>
      <c r="C37" s="3">
        <v>35</v>
      </c>
      <c r="D37">
        <f t="shared" si="0"/>
        <v>-349.37</v>
      </c>
      <c r="E37" s="4">
        <v>-9.66</v>
      </c>
      <c r="F37" s="5">
        <v>35</v>
      </c>
      <c r="G37" s="4">
        <v>349.37</v>
      </c>
      <c r="H37">
        <v>-1</v>
      </c>
      <c r="I37" s="3"/>
      <c r="J37" s="5">
        <v>166</v>
      </c>
      <c r="K37">
        <v>-7</v>
      </c>
      <c r="L37" s="5">
        <v>166</v>
      </c>
    </row>
    <row r="38" spans="2:12">
      <c r="B38" s="3">
        <v>385</v>
      </c>
      <c r="C38" s="3">
        <v>35.5</v>
      </c>
      <c r="D38">
        <f t="shared" si="0"/>
        <v>-348.17</v>
      </c>
      <c r="E38" s="4">
        <v>-9.6199999999999992</v>
      </c>
      <c r="F38" s="5">
        <v>36</v>
      </c>
      <c r="G38" s="4">
        <v>348.17</v>
      </c>
      <c r="H38">
        <v>-1</v>
      </c>
      <c r="I38" s="3">
        <v>190</v>
      </c>
      <c r="J38" s="5">
        <v>165</v>
      </c>
      <c r="L38" s="5">
        <v>165</v>
      </c>
    </row>
    <row r="39" spans="2:12">
      <c r="B39" s="3">
        <v>388</v>
      </c>
      <c r="C39" s="3">
        <v>36</v>
      </c>
      <c r="D39">
        <f t="shared" si="0"/>
        <v>-347.18</v>
      </c>
      <c r="E39" s="4">
        <v>-9.58</v>
      </c>
      <c r="F39" s="5">
        <v>37</v>
      </c>
      <c r="G39" s="4">
        <v>347.18</v>
      </c>
      <c r="H39">
        <v>-1</v>
      </c>
      <c r="I39" s="3"/>
      <c r="J39" s="5">
        <v>164</v>
      </c>
      <c r="L39" s="5">
        <v>164</v>
      </c>
    </row>
    <row r="40" spans="2:12">
      <c r="B40" s="3">
        <v>391</v>
      </c>
      <c r="C40" s="3">
        <v>36.5</v>
      </c>
      <c r="D40">
        <f t="shared" si="0"/>
        <v>-346.19</v>
      </c>
      <c r="E40" s="4">
        <v>-9.5399999999999991</v>
      </c>
      <c r="F40" s="5">
        <v>38</v>
      </c>
      <c r="G40" s="4">
        <v>346.19</v>
      </c>
      <c r="H40">
        <v>-1</v>
      </c>
      <c r="I40" s="3">
        <v>189</v>
      </c>
      <c r="J40" s="5">
        <v>163</v>
      </c>
      <c r="L40" s="5">
        <v>163</v>
      </c>
    </row>
    <row r="41" spans="2:12">
      <c r="B41" s="3">
        <v>394</v>
      </c>
      <c r="C41" s="3">
        <v>37</v>
      </c>
      <c r="D41">
        <f t="shared" si="0"/>
        <v>-345.2</v>
      </c>
      <c r="E41" s="4">
        <v>-9.5</v>
      </c>
      <c r="F41" s="5">
        <v>39</v>
      </c>
      <c r="G41" s="4">
        <v>345.2</v>
      </c>
      <c r="H41">
        <v>-1</v>
      </c>
      <c r="I41" s="3"/>
      <c r="J41" s="5">
        <v>162</v>
      </c>
      <c r="L41" s="5">
        <v>162</v>
      </c>
    </row>
    <row r="42" spans="2:12">
      <c r="B42" s="3">
        <v>397</v>
      </c>
      <c r="C42" s="3">
        <v>37.5</v>
      </c>
      <c r="D42">
        <f t="shared" si="0"/>
        <v>-344.21</v>
      </c>
      <c r="E42" s="4">
        <v>-9.4600000000000009</v>
      </c>
      <c r="F42" s="5">
        <v>40</v>
      </c>
      <c r="G42" s="4">
        <v>344.21</v>
      </c>
      <c r="H42">
        <v>-1</v>
      </c>
      <c r="I42" s="3">
        <v>188</v>
      </c>
      <c r="J42" s="5">
        <v>161</v>
      </c>
      <c r="L42" s="5">
        <v>161</v>
      </c>
    </row>
    <row r="43" spans="2:12">
      <c r="B43" s="3">
        <v>400</v>
      </c>
      <c r="C43" s="3">
        <v>38</v>
      </c>
      <c r="D43">
        <f t="shared" si="0"/>
        <v>-343.22</v>
      </c>
      <c r="E43" s="4">
        <v>-9.43</v>
      </c>
      <c r="F43" s="5">
        <v>41</v>
      </c>
      <c r="G43" s="4">
        <v>343.22</v>
      </c>
      <c r="H43">
        <v>-1</v>
      </c>
      <c r="I43" s="3"/>
      <c r="J43" s="5">
        <v>160</v>
      </c>
      <c r="L43" s="5">
        <v>160</v>
      </c>
    </row>
    <row r="44" spans="2:12">
      <c r="B44" s="3">
        <v>403</v>
      </c>
      <c r="C44" s="3">
        <v>38.5</v>
      </c>
      <c r="D44">
        <f t="shared" si="0"/>
        <v>-342.24</v>
      </c>
      <c r="E44" s="4">
        <v>-9.4</v>
      </c>
      <c r="F44" s="5">
        <v>42</v>
      </c>
      <c r="G44" s="4">
        <v>342.24</v>
      </c>
      <c r="H44">
        <v>-1</v>
      </c>
      <c r="I44" s="3">
        <v>187</v>
      </c>
      <c r="J44" s="5">
        <v>159</v>
      </c>
      <c r="L44" s="5">
        <v>159</v>
      </c>
    </row>
    <row r="45" spans="2:12">
      <c r="B45" s="3">
        <v>406</v>
      </c>
      <c r="C45" s="3">
        <v>39</v>
      </c>
      <c r="D45">
        <f t="shared" si="0"/>
        <v>-341.26</v>
      </c>
      <c r="E45" s="4">
        <v>-9.36</v>
      </c>
      <c r="F45" s="5">
        <v>43</v>
      </c>
      <c r="G45" s="4">
        <v>341.26</v>
      </c>
      <c r="H45">
        <v>-1</v>
      </c>
      <c r="I45" s="3"/>
      <c r="J45" s="5">
        <v>158</v>
      </c>
      <c r="L45" s="5">
        <v>158</v>
      </c>
    </row>
    <row r="46" spans="2:12">
      <c r="B46" s="3">
        <v>409</v>
      </c>
      <c r="C46" s="3">
        <v>39.5</v>
      </c>
      <c r="D46">
        <f t="shared" si="0"/>
        <v>-340.28</v>
      </c>
      <c r="E46" s="4">
        <v>-9.32</v>
      </c>
      <c r="F46" s="5">
        <v>44</v>
      </c>
      <c r="G46" s="4">
        <v>340.28</v>
      </c>
      <c r="H46">
        <v>-1</v>
      </c>
      <c r="I46" s="3">
        <v>186</v>
      </c>
      <c r="J46" s="5">
        <v>157</v>
      </c>
      <c r="L46" s="5">
        <v>157</v>
      </c>
    </row>
    <row r="47" spans="2:12">
      <c r="B47" s="3">
        <v>412</v>
      </c>
      <c r="C47" s="3">
        <v>40</v>
      </c>
      <c r="D47">
        <f t="shared" si="0"/>
        <v>-339.3</v>
      </c>
      <c r="E47" s="4">
        <v>-9.2899999999999991</v>
      </c>
      <c r="F47" s="5">
        <v>45</v>
      </c>
      <c r="G47" s="4">
        <v>339.3</v>
      </c>
      <c r="H47">
        <v>-1</v>
      </c>
      <c r="I47" s="3"/>
      <c r="J47" s="5">
        <v>156</v>
      </c>
      <c r="L47" s="5">
        <v>156</v>
      </c>
    </row>
    <row r="48" spans="2:12">
      <c r="B48" s="3">
        <v>415</v>
      </c>
      <c r="C48" s="3">
        <v>40.5</v>
      </c>
      <c r="D48">
        <f t="shared" si="0"/>
        <v>-338.32</v>
      </c>
      <c r="E48" s="4">
        <v>-9.2600000000000104</v>
      </c>
      <c r="F48" s="5">
        <v>46</v>
      </c>
      <c r="G48" s="4">
        <v>338.32</v>
      </c>
      <c r="H48">
        <v>-1</v>
      </c>
      <c r="I48" s="3">
        <v>185</v>
      </c>
      <c r="J48" s="5">
        <v>155</v>
      </c>
      <c r="L48" s="5">
        <v>155</v>
      </c>
    </row>
    <row r="49" spans="2:12">
      <c r="B49" s="3">
        <v>418</v>
      </c>
      <c r="C49" s="3">
        <v>41</v>
      </c>
      <c r="D49">
        <f t="shared" si="0"/>
        <v>-337.34</v>
      </c>
      <c r="E49" s="4">
        <v>-9.2300000000000093</v>
      </c>
      <c r="F49" s="5">
        <v>47</v>
      </c>
      <c r="G49" s="4">
        <v>337.34</v>
      </c>
      <c r="H49">
        <v>-1</v>
      </c>
      <c r="I49" s="3"/>
      <c r="J49" s="5">
        <v>154</v>
      </c>
      <c r="K49">
        <v>-7.1</v>
      </c>
      <c r="L49" s="5">
        <v>154</v>
      </c>
    </row>
    <row r="50" spans="2:12">
      <c r="B50" s="3">
        <v>421</v>
      </c>
      <c r="C50" s="3">
        <v>41.5</v>
      </c>
      <c r="D50">
        <f t="shared" si="0"/>
        <v>-336.53</v>
      </c>
      <c r="E50" s="4">
        <v>-9.2000000000000099</v>
      </c>
      <c r="F50" s="5">
        <v>48</v>
      </c>
      <c r="G50" s="4">
        <v>336.53</v>
      </c>
      <c r="H50">
        <v>-1</v>
      </c>
      <c r="I50" s="3">
        <v>184</v>
      </c>
      <c r="J50" s="5">
        <v>153</v>
      </c>
      <c r="L50" s="5">
        <v>153</v>
      </c>
    </row>
    <row r="51" spans="2:12">
      <c r="B51" s="3">
        <v>424</v>
      </c>
      <c r="C51" s="3">
        <v>42</v>
      </c>
      <c r="D51">
        <f t="shared" si="0"/>
        <v>-335.73</v>
      </c>
      <c r="E51" s="4">
        <v>-9.1700000000000106</v>
      </c>
      <c r="F51" s="5">
        <v>49</v>
      </c>
      <c r="G51" s="4">
        <v>335.73</v>
      </c>
      <c r="H51">
        <v>-1</v>
      </c>
      <c r="I51" s="3"/>
      <c r="J51" s="5">
        <v>152</v>
      </c>
      <c r="L51" s="5">
        <v>152</v>
      </c>
    </row>
    <row r="52" spans="2:12">
      <c r="B52" s="3">
        <v>427</v>
      </c>
      <c r="C52" s="3">
        <v>42.5</v>
      </c>
      <c r="D52">
        <f t="shared" si="0"/>
        <v>-334.4</v>
      </c>
      <c r="E52" s="4">
        <v>-9.1400000000000095</v>
      </c>
      <c r="F52" s="5">
        <v>50</v>
      </c>
      <c r="G52" s="4">
        <v>334.4</v>
      </c>
      <c r="H52">
        <v>-1</v>
      </c>
      <c r="I52" s="3">
        <v>183</v>
      </c>
      <c r="J52" s="5">
        <v>151</v>
      </c>
      <c r="L52" s="5">
        <v>151</v>
      </c>
    </row>
    <row r="53" spans="2:12">
      <c r="B53" s="3">
        <v>430</v>
      </c>
      <c r="C53" s="3">
        <v>43</v>
      </c>
      <c r="D53">
        <f t="shared" si="0"/>
        <v>-333.42</v>
      </c>
      <c r="E53" s="4">
        <v>-9.1100000000000101</v>
      </c>
      <c r="F53" s="5">
        <v>51</v>
      </c>
      <c r="G53" s="4">
        <v>333.42</v>
      </c>
      <c r="H53">
        <v>-1</v>
      </c>
      <c r="I53" s="3"/>
      <c r="J53" s="5">
        <v>150</v>
      </c>
      <c r="L53" s="5">
        <v>150</v>
      </c>
    </row>
    <row r="54" spans="2:12">
      <c r="B54" s="3">
        <v>433</v>
      </c>
      <c r="C54" s="3">
        <v>43.5</v>
      </c>
      <c r="D54">
        <f t="shared" si="0"/>
        <v>-332.64</v>
      </c>
      <c r="E54" s="4">
        <v>-9.0800000000000107</v>
      </c>
      <c r="F54" s="5">
        <v>52</v>
      </c>
      <c r="G54" s="4">
        <v>332.64</v>
      </c>
      <c r="H54">
        <v>-1</v>
      </c>
      <c r="I54" s="3"/>
      <c r="J54" s="5">
        <v>149</v>
      </c>
      <c r="L54" s="5">
        <v>149</v>
      </c>
    </row>
    <row r="55" spans="2:12">
      <c r="B55" s="3">
        <v>436</v>
      </c>
      <c r="C55" s="3">
        <v>44</v>
      </c>
      <c r="D55">
        <f t="shared" si="0"/>
        <v>-331.84</v>
      </c>
      <c r="E55" s="4">
        <v>-9.0500000000000096</v>
      </c>
      <c r="F55" s="5">
        <v>53</v>
      </c>
      <c r="G55" s="4">
        <v>331.84</v>
      </c>
      <c r="H55">
        <v>-1</v>
      </c>
      <c r="I55" s="3">
        <v>182</v>
      </c>
      <c r="J55" s="5">
        <v>148</v>
      </c>
      <c r="L55" s="5">
        <v>148</v>
      </c>
    </row>
    <row r="56" spans="2:12">
      <c r="B56" s="3">
        <v>439</v>
      </c>
      <c r="C56" s="3">
        <v>44.5</v>
      </c>
      <c r="D56">
        <f t="shared" si="0"/>
        <v>-331.04</v>
      </c>
      <c r="E56" s="4">
        <v>-9.0200000000000102</v>
      </c>
      <c r="F56" s="5">
        <v>54</v>
      </c>
      <c r="G56" s="4">
        <v>331.04</v>
      </c>
      <c r="H56">
        <v>-1</v>
      </c>
      <c r="I56" s="3"/>
      <c r="J56" s="5">
        <v>147</v>
      </c>
      <c r="L56" s="5">
        <v>147</v>
      </c>
    </row>
    <row r="57" spans="2:12">
      <c r="B57" s="3">
        <v>442</v>
      </c>
      <c r="C57" s="3">
        <v>45</v>
      </c>
      <c r="D57">
        <f t="shared" si="0"/>
        <v>-330.24</v>
      </c>
      <c r="E57" s="4">
        <v>-8.9900000000000109</v>
      </c>
      <c r="F57" s="5">
        <v>55</v>
      </c>
      <c r="G57" s="4">
        <v>330.24</v>
      </c>
      <c r="H57">
        <v>-1</v>
      </c>
      <c r="I57" s="3"/>
      <c r="J57" s="5">
        <v>146</v>
      </c>
      <c r="L57" s="5">
        <v>146</v>
      </c>
    </row>
    <row r="58" spans="2:12">
      <c r="B58" s="3">
        <v>445</v>
      </c>
      <c r="C58" s="3">
        <v>45.5</v>
      </c>
      <c r="D58">
        <f t="shared" si="0"/>
        <v>-329.44</v>
      </c>
      <c r="E58" s="4">
        <v>-8.9600000000000097</v>
      </c>
      <c r="F58" s="5">
        <v>56</v>
      </c>
      <c r="G58" s="4">
        <v>329.44</v>
      </c>
      <c r="H58">
        <v>-1</v>
      </c>
      <c r="I58" s="3">
        <v>181</v>
      </c>
      <c r="J58" s="5">
        <v>145</v>
      </c>
      <c r="L58" s="5">
        <v>145</v>
      </c>
    </row>
    <row r="59" spans="2:12">
      <c r="B59" s="3">
        <v>448</v>
      </c>
      <c r="C59" s="3">
        <v>46</v>
      </c>
      <c r="D59">
        <f t="shared" si="0"/>
        <v>-328.64</v>
      </c>
      <c r="E59" s="4">
        <v>-8.9300000000000104</v>
      </c>
      <c r="F59" s="5">
        <v>57</v>
      </c>
      <c r="G59" s="4">
        <v>328.64</v>
      </c>
      <c r="H59">
        <v>-1</v>
      </c>
      <c r="I59" s="3"/>
      <c r="J59" s="5">
        <v>144</v>
      </c>
      <c r="L59" s="5">
        <v>144</v>
      </c>
    </row>
    <row r="60" spans="2:12">
      <c r="B60" s="3">
        <v>451</v>
      </c>
      <c r="C60" s="3">
        <v>46.5</v>
      </c>
      <c r="D60">
        <f t="shared" si="0"/>
        <v>-327.84</v>
      </c>
      <c r="E60" s="4">
        <v>-8.9</v>
      </c>
      <c r="F60" s="5">
        <v>58</v>
      </c>
      <c r="G60" s="4">
        <v>327.84</v>
      </c>
      <c r="H60">
        <v>-1</v>
      </c>
      <c r="I60" s="3"/>
      <c r="J60" s="5">
        <v>143</v>
      </c>
      <c r="K60">
        <v>-7.2</v>
      </c>
      <c r="L60" s="5">
        <v>143</v>
      </c>
    </row>
    <row r="61" spans="2:12">
      <c r="B61" s="3">
        <v>454</v>
      </c>
      <c r="C61" s="3">
        <v>47</v>
      </c>
      <c r="D61">
        <f t="shared" si="0"/>
        <v>-327.04000000000002</v>
      </c>
      <c r="E61" s="4">
        <v>-8.8699999999999992</v>
      </c>
      <c r="F61" s="5">
        <v>59</v>
      </c>
      <c r="G61" s="4">
        <v>327.04000000000002</v>
      </c>
      <c r="H61">
        <v>-1</v>
      </c>
      <c r="I61" s="3">
        <v>180</v>
      </c>
      <c r="J61" s="5">
        <v>142</v>
      </c>
      <c r="L61" s="5">
        <v>142</v>
      </c>
    </row>
    <row r="62" spans="2:12">
      <c r="B62" s="3">
        <v>457</v>
      </c>
      <c r="C62" s="3">
        <v>47.5</v>
      </c>
      <c r="D62">
        <f t="shared" si="0"/>
        <v>-326.24</v>
      </c>
      <c r="E62" s="4">
        <v>-8.84</v>
      </c>
      <c r="F62" s="5">
        <v>60</v>
      </c>
      <c r="G62" s="4">
        <v>326.24</v>
      </c>
      <c r="H62">
        <v>-1</v>
      </c>
      <c r="I62" s="3"/>
      <c r="J62" s="5">
        <v>141</v>
      </c>
      <c r="L62" s="5">
        <v>141</v>
      </c>
    </row>
    <row r="63" spans="2:12">
      <c r="B63" s="3">
        <v>460</v>
      </c>
      <c r="C63" s="3">
        <v>48</v>
      </c>
      <c r="D63">
        <f t="shared" si="0"/>
        <v>-325.44</v>
      </c>
      <c r="E63" s="4">
        <v>-8.81</v>
      </c>
      <c r="F63" s="5">
        <v>61</v>
      </c>
      <c r="G63" s="4">
        <v>325.44</v>
      </c>
      <c r="H63">
        <v>-1</v>
      </c>
      <c r="I63" s="3"/>
      <c r="J63" s="5">
        <v>140</v>
      </c>
      <c r="L63" s="5">
        <v>140</v>
      </c>
    </row>
    <row r="64" spans="2:12">
      <c r="B64" s="3">
        <v>463</v>
      </c>
      <c r="C64" s="3">
        <v>48.5</v>
      </c>
      <c r="D64">
        <f t="shared" si="0"/>
        <v>-324.64</v>
      </c>
      <c r="E64" s="4">
        <v>-8.7799999999999994</v>
      </c>
      <c r="F64" s="5">
        <v>62</v>
      </c>
      <c r="G64" s="4">
        <v>324.64</v>
      </c>
      <c r="H64">
        <v>-1</v>
      </c>
      <c r="I64" s="3">
        <v>179</v>
      </c>
      <c r="J64" s="5">
        <v>139</v>
      </c>
      <c r="L64" s="5">
        <v>139</v>
      </c>
    </row>
    <row r="65" spans="2:12">
      <c r="B65" s="3">
        <v>466</v>
      </c>
      <c r="C65" s="3">
        <v>49</v>
      </c>
      <c r="D65">
        <f t="shared" si="0"/>
        <v>-323.83999999999997</v>
      </c>
      <c r="E65" s="4">
        <v>-8.75</v>
      </c>
      <c r="F65" s="5">
        <v>63</v>
      </c>
      <c r="G65" s="4">
        <v>323.83999999999997</v>
      </c>
      <c r="H65">
        <v>-1</v>
      </c>
      <c r="I65" s="3"/>
      <c r="J65" s="5">
        <v>138</v>
      </c>
      <c r="L65" s="5">
        <v>138</v>
      </c>
    </row>
    <row r="66" spans="2:12">
      <c r="B66" s="3">
        <v>469</v>
      </c>
      <c r="C66" s="3">
        <v>49.5</v>
      </c>
      <c r="D66">
        <f t="shared" si="0"/>
        <v>-323.04000000000002</v>
      </c>
      <c r="E66" s="4">
        <v>-8.7200000000000006</v>
      </c>
      <c r="F66" s="5">
        <v>64</v>
      </c>
      <c r="G66" s="4">
        <v>323.04000000000002</v>
      </c>
      <c r="H66">
        <v>-1</v>
      </c>
      <c r="I66" s="3"/>
      <c r="J66" s="5">
        <v>137</v>
      </c>
      <c r="L66" s="5">
        <v>137</v>
      </c>
    </row>
    <row r="67" spans="2:12">
      <c r="B67" s="3">
        <v>472</v>
      </c>
      <c r="C67" s="3">
        <v>50</v>
      </c>
      <c r="D67">
        <f t="shared" ref="D67:D105" si="1">G67*H67</f>
        <v>-322.24</v>
      </c>
      <c r="E67" s="4">
        <v>-8.69</v>
      </c>
      <c r="F67" s="5">
        <v>65</v>
      </c>
      <c r="G67" s="4">
        <v>322.24</v>
      </c>
      <c r="H67">
        <v>-1</v>
      </c>
      <c r="I67" s="3">
        <v>178</v>
      </c>
      <c r="J67" s="5">
        <v>136</v>
      </c>
      <c r="L67" s="5">
        <v>136</v>
      </c>
    </row>
    <row r="68" spans="2:12">
      <c r="B68" s="3">
        <v>475</v>
      </c>
      <c r="C68" s="3">
        <v>50.5</v>
      </c>
      <c r="D68">
        <f t="shared" si="1"/>
        <v>-321.44</v>
      </c>
      <c r="E68" s="4">
        <v>-8.66</v>
      </c>
      <c r="F68" s="5">
        <v>66</v>
      </c>
      <c r="G68" s="4">
        <v>321.44</v>
      </c>
      <c r="H68">
        <v>-1</v>
      </c>
      <c r="I68" s="3"/>
      <c r="J68" s="5">
        <v>135</v>
      </c>
      <c r="L68" s="5">
        <v>135</v>
      </c>
    </row>
    <row r="69" spans="2:12">
      <c r="B69" s="3">
        <v>478</v>
      </c>
      <c r="C69" s="3">
        <v>51</v>
      </c>
      <c r="D69">
        <f t="shared" si="1"/>
        <v>-320.64</v>
      </c>
      <c r="E69" s="4">
        <v>-8.6300000000000008</v>
      </c>
      <c r="F69" s="5">
        <v>67</v>
      </c>
      <c r="G69" s="4">
        <v>320.64</v>
      </c>
      <c r="H69">
        <v>-1</v>
      </c>
      <c r="I69" s="3"/>
      <c r="J69" s="5">
        <v>134</v>
      </c>
      <c r="L69" s="5">
        <v>134</v>
      </c>
    </row>
    <row r="70" spans="2:12">
      <c r="B70" s="3">
        <v>481</v>
      </c>
      <c r="C70" s="3">
        <v>51.5</v>
      </c>
      <c r="D70">
        <f t="shared" si="1"/>
        <v>-319.83999999999997</v>
      </c>
      <c r="E70" s="4">
        <v>-8.6</v>
      </c>
      <c r="F70" s="5">
        <v>68</v>
      </c>
      <c r="G70" s="4">
        <v>319.83999999999997</v>
      </c>
      <c r="H70">
        <v>-1</v>
      </c>
      <c r="I70" s="3">
        <v>177</v>
      </c>
      <c r="J70" s="5">
        <v>133</v>
      </c>
      <c r="L70" s="5">
        <v>133</v>
      </c>
    </row>
    <row r="71" spans="2:12">
      <c r="B71" s="3">
        <v>484</v>
      </c>
      <c r="C71" s="3">
        <v>52</v>
      </c>
      <c r="D71">
        <f t="shared" si="1"/>
        <v>-319.04000000000002</v>
      </c>
      <c r="E71" s="4">
        <v>-8.57</v>
      </c>
      <c r="F71" s="5">
        <v>69</v>
      </c>
      <c r="G71" s="4">
        <v>319.04000000000002</v>
      </c>
      <c r="H71">
        <v>-1</v>
      </c>
      <c r="I71" s="3"/>
      <c r="J71" s="5">
        <v>132</v>
      </c>
      <c r="K71">
        <v>-7.3</v>
      </c>
      <c r="L71" s="5">
        <v>132</v>
      </c>
    </row>
    <row r="72" spans="2:12">
      <c r="B72" s="3">
        <v>487</v>
      </c>
      <c r="C72" s="3">
        <v>52.5</v>
      </c>
      <c r="D72">
        <f t="shared" si="1"/>
        <v>-318.24</v>
      </c>
      <c r="E72" s="4">
        <v>-8.5399999999999991</v>
      </c>
      <c r="F72" s="5">
        <v>70</v>
      </c>
      <c r="G72" s="4">
        <v>318.24</v>
      </c>
      <c r="H72">
        <v>-1</v>
      </c>
      <c r="I72" s="3"/>
      <c r="J72" s="5">
        <v>131</v>
      </c>
      <c r="L72" s="5">
        <v>131</v>
      </c>
    </row>
    <row r="73" spans="2:12">
      <c r="B73" s="3">
        <v>490</v>
      </c>
      <c r="C73" s="3">
        <v>53</v>
      </c>
      <c r="D73">
        <f t="shared" si="1"/>
        <v>-317.44</v>
      </c>
      <c r="E73" s="4">
        <v>-8.52</v>
      </c>
      <c r="F73" s="5">
        <v>71</v>
      </c>
      <c r="G73" s="4">
        <v>317.44</v>
      </c>
      <c r="H73">
        <v>-1</v>
      </c>
      <c r="I73" s="3">
        <v>176</v>
      </c>
      <c r="J73" s="5">
        <v>130</v>
      </c>
      <c r="L73" s="5">
        <v>130</v>
      </c>
    </row>
    <row r="74" spans="2:12">
      <c r="B74" s="3">
        <v>493</v>
      </c>
      <c r="C74" s="3">
        <v>53.5</v>
      </c>
      <c r="D74">
        <f t="shared" si="1"/>
        <v>-316.64</v>
      </c>
      <c r="E74" s="4">
        <v>-8.49</v>
      </c>
      <c r="F74" s="5">
        <v>72</v>
      </c>
      <c r="G74" s="4">
        <v>316.64</v>
      </c>
      <c r="H74">
        <v>-1</v>
      </c>
      <c r="I74" s="3"/>
      <c r="J74" s="5">
        <v>129</v>
      </c>
      <c r="L74" s="5">
        <v>129</v>
      </c>
    </row>
    <row r="75" spans="2:12">
      <c r="B75" s="3">
        <v>496</v>
      </c>
      <c r="C75" s="3">
        <v>54</v>
      </c>
      <c r="D75">
        <f t="shared" si="1"/>
        <v>-315.83999999999997</v>
      </c>
      <c r="E75" s="4">
        <v>-8.4600000000000009</v>
      </c>
      <c r="F75" s="5">
        <v>73</v>
      </c>
      <c r="G75" s="4">
        <v>315.83999999999997</v>
      </c>
      <c r="H75">
        <v>-1</v>
      </c>
      <c r="I75" s="3"/>
      <c r="J75" s="5">
        <v>128</v>
      </c>
      <c r="L75" s="5">
        <v>128</v>
      </c>
    </row>
    <row r="76" spans="2:12">
      <c r="B76" s="3">
        <v>499</v>
      </c>
      <c r="C76" s="3">
        <v>54.5</v>
      </c>
      <c r="D76">
        <f t="shared" si="1"/>
        <v>-315.04000000000002</v>
      </c>
      <c r="E76" s="4">
        <v>-8.44</v>
      </c>
      <c r="F76" s="5">
        <v>74</v>
      </c>
      <c r="G76" s="4">
        <v>315.04000000000002</v>
      </c>
      <c r="H76">
        <v>-1</v>
      </c>
      <c r="I76" s="3"/>
      <c r="J76" s="5">
        <v>127</v>
      </c>
      <c r="L76" s="5">
        <v>127</v>
      </c>
    </row>
    <row r="77" spans="2:12">
      <c r="B77" s="3">
        <v>503</v>
      </c>
      <c r="C77" s="3">
        <v>55</v>
      </c>
      <c r="D77">
        <f t="shared" si="1"/>
        <v>-314.24</v>
      </c>
      <c r="E77" s="4">
        <v>-8.42</v>
      </c>
      <c r="F77" s="5">
        <v>75</v>
      </c>
      <c r="G77" s="4">
        <v>314.24</v>
      </c>
      <c r="H77">
        <v>-1</v>
      </c>
      <c r="I77" s="3">
        <v>175</v>
      </c>
      <c r="J77" s="5">
        <v>126</v>
      </c>
      <c r="L77" s="5">
        <v>126</v>
      </c>
    </row>
    <row r="78" spans="2:12">
      <c r="B78" s="3">
        <v>506</v>
      </c>
      <c r="C78" s="3">
        <v>55.5</v>
      </c>
      <c r="D78">
        <f t="shared" si="1"/>
        <v>-313.44</v>
      </c>
      <c r="E78" s="4">
        <v>-8.4</v>
      </c>
      <c r="F78" s="5">
        <v>76</v>
      </c>
      <c r="G78" s="4">
        <v>313.44</v>
      </c>
      <c r="H78">
        <v>-1</v>
      </c>
      <c r="I78" s="3"/>
      <c r="J78" s="5">
        <v>125</v>
      </c>
      <c r="L78" s="5">
        <v>125</v>
      </c>
    </row>
    <row r="79" spans="2:12">
      <c r="B79" s="3">
        <v>509</v>
      </c>
      <c r="C79" s="3">
        <v>56</v>
      </c>
      <c r="D79">
        <f t="shared" si="1"/>
        <v>-312.64</v>
      </c>
      <c r="E79" s="4">
        <v>-8.3800000000000008</v>
      </c>
      <c r="F79" s="5">
        <v>77</v>
      </c>
      <c r="G79" s="4">
        <v>312.64</v>
      </c>
      <c r="H79">
        <v>-1</v>
      </c>
      <c r="I79" s="3"/>
      <c r="J79" s="5">
        <v>124</v>
      </c>
      <c r="L79" s="5">
        <v>124</v>
      </c>
    </row>
    <row r="80" spans="2:12">
      <c r="B80" s="3">
        <v>512</v>
      </c>
      <c r="C80" s="3">
        <v>56.5</v>
      </c>
      <c r="D80">
        <f t="shared" si="1"/>
        <v>-311.83999999999997</v>
      </c>
      <c r="E80" s="4">
        <v>-8.36</v>
      </c>
      <c r="F80" s="5">
        <v>78</v>
      </c>
      <c r="G80" s="4">
        <v>311.83999999999997</v>
      </c>
      <c r="H80">
        <v>-1</v>
      </c>
      <c r="I80" s="3">
        <v>174</v>
      </c>
      <c r="J80" s="5">
        <v>123</v>
      </c>
      <c r="L80" s="5">
        <v>123</v>
      </c>
    </row>
    <row r="81" spans="2:12">
      <c r="B81" s="3">
        <v>515</v>
      </c>
      <c r="C81" s="3">
        <v>57</v>
      </c>
      <c r="D81">
        <f t="shared" si="1"/>
        <v>-311.04000000000002</v>
      </c>
      <c r="E81" s="4">
        <v>-8.34</v>
      </c>
      <c r="F81" s="5">
        <v>79</v>
      </c>
      <c r="G81" s="4">
        <v>311.04000000000002</v>
      </c>
      <c r="H81">
        <v>-1</v>
      </c>
      <c r="I81" s="3"/>
      <c r="J81" s="5">
        <v>122</v>
      </c>
      <c r="L81" s="5">
        <v>122</v>
      </c>
    </row>
    <row r="82" spans="2:12">
      <c r="B82" s="3">
        <v>518</v>
      </c>
      <c r="C82" s="3">
        <v>57.5</v>
      </c>
      <c r="D82">
        <f t="shared" si="1"/>
        <v>-310.24</v>
      </c>
      <c r="E82" s="4">
        <v>-8.31</v>
      </c>
      <c r="F82" s="5">
        <v>80</v>
      </c>
      <c r="G82" s="4">
        <v>310.24</v>
      </c>
      <c r="H82">
        <v>-1</v>
      </c>
      <c r="I82" s="3"/>
      <c r="J82" s="5">
        <v>121</v>
      </c>
      <c r="K82">
        <v>-7.4</v>
      </c>
      <c r="L82" s="5">
        <v>121</v>
      </c>
    </row>
    <row r="83" spans="2:12">
      <c r="B83" s="3">
        <v>520</v>
      </c>
      <c r="C83" s="3">
        <v>58</v>
      </c>
      <c r="D83">
        <f t="shared" si="1"/>
        <v>-309.45</v>
      </c>
      <c r="E83" s="4">
        <v>-8.2799999999999994</v>
      </c>
      <c r="F83" s="5">
        <v>81</v>
      </c>
      <c r="G83" s="4">
        <v>309.45</v>
      </c>
      <c r="H83">
        <v>-1</v>
      </c>
      <c r="I83" s="3">
        <v>173</v>
      </c>
      <c r="J83" s="5">
        <v>120</v>
      </c>
      <c r="L83" s="5">
        <v>120</v>
      </c>
    </row>
    <row r="84" spans="2:12">
      <c r="B84" s="3">
        <v>523</v>
      </c>
      <c r="C84" s="3">
        <v>58.5</v>
      </c>
      <c r="D84">
        <f t="shared" si="1"/>
        <v>-308.64999999999998</v>
      </c>
      <c r="E84" s="4">
        <v>-8.25</v>
      </c>
      <c r="F84" s="5">
        <v>82</v>
      </c>
      <c r="G84" s="4">
        <v>308.64999999999998</v>
      </c>
      <c r="H84">
        <v>-1</v>
      </c>
      <c r="I84" s="3"/>
      <c r="J84" s="5">
        <v>119</v>
      </c>
      <c r="L84" s="5">
        <v>119</v>
      </c>
    </row>
    <row r="85" spans="2:12">
      <c r="B85" s="3">
        <v>526</v>
      </c>
      <c r="C85" s="3">
        <v>59</v>
      </c>
      <c r="D85">
        <f t="shared" si="1"/>
        <v>-308</v>
      </c>
      <c r="E85" s="4">
        <v>-8.2200000000000006</v>
      </c>
      <c r="F85" s="5">
        <v>83</v>
      </c>
      <c r="G85" s="4">
        <v>308</v>
      </c>
      <c r="H85">
        <v>-1</v>
      </c>
      <c r="I85" s="3"/>
      <c r="J85" s="5">
        <v>118</v>
      </c>
      <c r="L85" s="5">
        <v>118</v>
      </c>
    </row>
    <row r="86" spans="2:12">
      <c r="B86" s="3">
        <v>528</v>
      </c>
      <c r="C86" s="3">
        <v>59.5</v>
      </c>
      <c r="D86">
        <f t="shared" si="1"/>
        <v>-307.35000000000002</v>
      </c>
      <c r="E86" s="4">
        <v>-8.19</v>
      </c>
      <c r="F86" s="5">
        <v>84</v>
      </c>
      <c r="G86" s="4">
        <v>307.35000000000002</v>
      </c>
      <c r="H86">
        <v>-1</v>
      </c>
      <c r="I86" s="3">
        <v>172</v>
      </c>
      <c r="J86" s="5">
        <v>117</v>
      </c>
      <c r="L86" s="5">
        <v>117</v>
      </c>
    </row>
    <row r="87" spans="2:12">
      <c r="B87" s="3">
        <v>530</v>
      </c>
      <c r="C87" s="3">
        <v>60</v>
      </c>
      <c r="D87">
        <f t="shared" si="1"/>
        <v>-306.7</v>
      </c>
      <c r="E87" s="4">
        <v>-8.16</v>
      </c>
      <c r="F87" s="5">
        <v>85</v>
      </c>
      <c r="G87" s="4">
        <v>306.7</v>
      </c>
      <c r="H87">
        <v>-1</v>
      </c>
      <c r="I87" s="3"/>
      <c r="J87" s="5">
        <v>116</v>
      </c>
      <c r="L87" s="5">
        <v>116</v>
      </c>
    </row>
    <row r="88" spans="2:12">
      <c r="B88" s="3">
        <v>532</v>
      </c>
      <c r="C88" s="3">
        <v>60.5</v>
      </c>
      <c r="D88">
        <f t="shared" si="1"/>
        <v>-306.05</v>
      </c>
      <c r="E88" s="4">
        <v>-8.1300000000000008</v>
      </c>
      <c r="F88" s="5">
        <v>86</v>
      </c>
      <c r="G88" s="4">
        <v>306.05</v>
      </c>
      <c r="H88">
        <v>-1</v>
      </c>
      <c r="I88" s="3"/>
      <c r="J88" s="5">
        <v>115</v>
      </c>
      <c r="L88" s="5">
        <v>115</v>
      </c>
    </row>
    <row r="89" spans="2:12">
      <c r="B89" s="3">
        <v>534</v>
      </c>
      <c r="C89" s="3">
        <v>61</v>
      </c>
      <c r="D89">
        <f t="shared" si="1"/>
        <v>-305.39999999999998</v>
      </c>
      <c r="E89" s="129">
        <v>-8.1</v>
      </c>
      <c r="F89" s="5">
        <v>87</v>
      </c>
      <c r="G89" s="4">
        <v>305.39999999999998</v>
      </c>
      <c r="H89">
        <v>-1</v>
      </c>
      <c r="I89" s="3">
        <v>171</v>
      </c>
      <c r="J89" s="5">
        <v>114</v>
      </c>
      <c r="L89" s="5">
        <v>114</v>
      </c>
    </row>
    <row r="90" spans="2:12">
      <c r="B90" s="3">
        <v>536</v>
      </c>
      <c r="C90" s="3">
        <v>61.5</v>
      </c>
      <c r="D90">
        <f t="shared" si="1"/>
        <v>-304.75</v>
      </c>
      <c r="E90" s="130">
        <v>-8.07</v>
      </c>
      <c r="F90" s="5">
        <v>88</v>
      </c>
      <c r="G90" s="4">
        <v>304.75</v>
      </c>
      <c r="H90">
        <v>-1</v>
      </c>
      <c r="I90" s="3"/>
      <c r="J90" s="5">
        <v>113</v>
      </c>
      <c r="L90" s="5">
        <v>113</v>
      </c>
    </row>
    <row r="91" spans="2:12">
      <c r="B91" s="3">
        <v>538</v>
      </c>
      <c r="C91" s="3">
        <v>62</v>
      </c>
      <c r="D91">
        <f t="shared" si="1"/>
        <v>-304.10000000000002</v>
      </c>
      <c r="E91" s="4">
        <v>-8.0399999999999991</v>
      </c>
      <c r="F91" s="5">
        <v>89</v>
      </c>
      <c r="G91" s="4">
        <v>304.10000000000002</v>
      </c>
      <c r="H91">
        <v>-1</v>
      </c>
      <c r="I91" s="3"/>
      <c r="J91" s="5">
        <v>112</v>
      </c>
      <c r="K91">
        <v>-7.5</v>
      </c>
      <c r="L91" s="5">
        <v>112</v>
      </c>
    </row>
    <row r="92" spans="2:12">
      <c r="B92" s="3">
        <v>540</v>
      </c>
      <c r="C92" s="3">
        <v>62.5</v>
      </c>
      <c r="D92">
        <f t="shared" si="1"/>
        <v>-303.55</v>
      </c>
      <c r="E92" s="4">
        <v>-8.02</v>
      </c>
      <c r="F92" s="5">
        <v>90</v>
      </c>
      <c r="G92" s="4">
        <v>303.55</v>
      </c>
      <c r="H92">
        <v>-1</v>
      </c>
      <c r="I92" s="3">
        <v>170</v>
      </c>
      <c r="J92" s="5">
        <v>111</v>
      </c>
      <c r="L92" s="5">
        <v>111</v>
      </c>
    </row>
    <row r="93" spans="2:12">
      <c r="B93" s="3">
        <v>542</v>
      </c>
      <c r="C93" s="3">
        <v>63</v>
      </c>
      <c r="D93">
        <f t="shared" si="1"/>
        <v>-303</v>
      </c>
      <c r="E93" s="4">
        <v>-8</v>
      </c>
      <c r="F93" s="5">
        <v>91</v>
      </c>
      <c r="G93" s="4">
        <v>303</v>
      </c>
      <c r="H93">
        <v>-1</v>
      </c>
      <c r="I93" s="3"/>
      <c r="J93" s="5">
        <v>110</v>
      </c>
      <c r="L93" s="5">
        <v>110</v>
      </c>
    </row>
    <row r="94" spans="2:12">
      <c r="B94" s="3">
        <v>544</v>
      </c>
      <c r="C94" s="3">
        <v>63.5</v>
      </c>
      <c r="D94">
        <f t="shared" si="1"/>
        <v>-302.45</v>
      </c>
      <c r="E94" s="4">
        <v>-7.98</v>
      </c>
      <c r="F94" s="5">
        <v>92</v>
      </c>
      <c r="G94" s="4">
        <v>302.45</v>
      </c>
      <c r="H94">
        <v>-1</v>
      </c>
      <c r="I94" s="3">
        <v>169</v>
      </c>
      <c r="J94" s="5">
        <v>109</v>
      </c>
      <c r="L94" s="5">
        <v>109</v>
      </c>
    </row>
    <row r="95" spans="2:12">
      <c r="B95" s="3">
        <v>546</v>
      </c>
      <c r="C95" s="3">
        <v>64</v>
      </c>
      <c r="D95">
        <f t="shared" si="1"/>
        <v>-301.89999999999998</v>
      </c>
      <c r="E95" s="4">
        <v>-7.96</v>
      </c>
      <c r="F95" s="5">
        <v>93</v>
      </c>
      <c r="G95" s="4">
        <v>301.89999999999998</v>
      </c>
      <c r="H95">
        <v>-1</v>
      </c>
      <c r="I95" s="3">
        <v>168</v>
      </c>
      <c r="J95" s="5">
        <v>108</v>
      </c>
      <c r="L95" s="5">
        <v>108</v>
      </c>
    </row>
    <row r="96" spans="2:12">
      <c r="B96" s="3">
        <v>548</v>
      </c>
      <c r="C96" s="3">
        <v>64.5</v>
      </c>
      <c r="D96">
        <f t="shared" si="1"/>
        <v>-301.35000000000002</v>
      </c>
      <c r="E96" s="4">
        <v>-7.94</v>
      </c>
      <c r="F96" s="5">
        <v>94</v>
      </c>
      <c r="G96" s="4">
        <v>301.35000000000002</v>
      </c>
      <c r="H96">
        <v>-1</v>
      </c>
      <c r="I96" s="3"/>
      <c r="J96" s="5">
        <v>107</v>
      </c>
      <c r="L96" s="5">
        <v>107</v>
      </c>
    </row>
    <row r="97" spans="2:12">
      <c r="B97" s="3">
        <v>550</v>
      </c>
      <c r="C97" s="3">
        <v>65</v>
      </c>
      <c r="D97">
        <f t="shared" si="1"/>
        <v>-300.8</v>
      </c>
      <c r="E97" s="4">
        <v>-7.92</v>
      </c>
      <c r="F97" s="5">
        <v>95</v>
      </c>
      <c r="G97" s="4">
        <v>300.8</v>
      </c>
      <c r="H97">
        <v>-1</v>
      </c>
      <c r="I97" s="3">
        <v>167</v>
      </c>
      <c r="J97" s="5">
        <v>106</v>
      </c>
      <c r="L97" s="5">
        <v>106</v>
      </c>
    </row>
    <row r="98" spans="2:12">
      <c r="B98" s="3">
        <v>552</v>
      </c>
      <c r="C98" s="3">
        <v>65.5</v>
      </c>
      <c r="D98">
        <f t="shared" si="1"/>
        <v>-300.25</v>
      </c>
      <c r="E98" s="4">
        <v>-7.9</v>
      </c>
      <c r="F98" s="5">
        <v>96</v>
      </c>
      <c r="G98" s="4">
        <v>300.25</v>
      </c>
      <c r="H98">
        <v>-1</v>
      </c>
      <c r="I98" s="3">
        <v>166</v>
      </c>
      <c r="J98" s="5">
        <v>105</v>
      </c>
      <c r="L98" s="5">
        <v>105</v>
      </c>
    </row>
    <row r="99" spans="2:12">
      <c r="B99" s="3">
        <v>554</v>
      </c>
      <c r="C99" s="3">
        <v>66</v>
      </c>
      <c r="D99">
        <f t="shared" si="1"/>
        <v>-259.7</v>
      </c>
      <c r="E99" s="4">
        <v>-7.88</v>
      </c>
      <c r="F99" s="5">
        <v>97</v>
      </c>
      <c r="G99" s="4">
        <v>259.7</v>
      </c>
      <c r="H99">
        <v>-1</v>
      </c>
      <c r="I99" s="3"/>
      <c r="J99" s="5">
        <v>104</v>
      </c>
      <c r="L99" s="5">
        <v>104</v>
      </c>
    </row>
    <row r="100" spans="2:12">
      <c r="B100" s="3">
        <v>556</v>
      </c>
      <c r="C100" s="3">
        <v>66.5</v>
      </c>
      <c r="D100">
        <f t="shared" si="1"/>
        <v>-259.14999999999998</v>
      </c>
      <c r="E100" s="4">
        <v>-7.87</v>
      </c>
      <c r="F100" s="5">
        <v>98</v>
      </c>
      <c r="G100" s="4">
        <v>259.14999999999998</v>
      </c>
      <c r="H100">
        <v>-1</v>
      </c>
      <c r="I100" s="3">
        <v>165</v>
      </c>
      <c r="J100" s="5">
        <v>103</v>
      </c>
      <c r="L100" s="5">
        <v>103</v>
      </c>
    </row>
    <row r="101" spans="2:12">
      <c r="B101" s="3">
        <v>558</v>
      </c>
      <c r="C101" s="3">
        <v>67</v>
      </c>
      <c r="D101">
        <f t="shared" si="1"/>
        <v>-258.60000000000002</v>
      </c>
      <c r="E101" s="4">
        <v>-7.86</v>
      </c>
      <c r="F101" s="5">
        <v>99</v>
      </c>
      <c r="G101" s="4">
        <v>258.60000000000002</v>
      </c>
      <c r="H101">
        <v>-1</v>
      </c>
      <c r="I101" s="3">
        <v>164</v>
      </c>
      <c r="J101" s="5">
        <v>102</v>
      </c>
      <c r="L101" s="5">
        <v>102</v>
      </c>
    </row>
    <row r="102" spans="2:12">
      <c r="B102" s="3">
        <v>560</v>
      </c>
      <c r="C102" s="3">
        <v>67.5</v>
      </c>
      <c r="D102">
        <f t="shared" si="1"/>
        <v>-258.10000000000002</v>
      </c>
      <c r="E102" s="4">
        <v>-7.85</v>
      </c>
      <c r="F102" s="5">
        <v>100</v>
      </c>
      <c r="G102" s="4">
        <v>258.10000000000002</v>
      </c>
      <c r="H102">
        <v>-1</v>
      </c>
      <c r="I102" s="3"/>
      <c r="J102" s="5">
        <v>101</v>
      </c>
      <c r="K102">
        <v>-7.6</v>
      </c>
      <c r="L102" s="5">
        <v>101</v>
      </c>
    </row>
    <row r="103" spans="2:12">
      <c r="B103" s="3">
        <v>562</v>
      </c>
      <c r="C103" s="3">
        <v>68</v>
      </c>
      <c r="D103">
        <f t="shared" si="1"/>
        <v>-257.60000000000002</v>
      </c>
      <c r="E103" s="4">
        <v>-7.84</v>
      </c>
      <c r="F103" s="5">
        <v>101</v>
      </c>
      <c r="G103" s="4">
        <v>257.60000000000002</v>
      </c>
      <c r="H103">
        <v>-1</v>
      </c>
      <c r="I103" s="3">
        <v>163</v>
      </c>
      <c r="J103" s="5">
        <v>100</v>
      </c>
      <c r="L103" s="5">
        <v>100</v>
      </c>
    </row>
    <row r="104" spans="2:12">
      <c r="B104" s="3">
        <v>564</v>
      </c>
      <c r="C104" s="3">
        <v>68.5</v>
      </c>
      <c r="D104">
        <f t="shared" si="1"/>
        <v>-257.10000000000002</v>
      </c>
      <c r="E104" s="4">
        <v>-7.83</v>
      </c>
      <c r="F104" s="5">
        <v>102</v>
      </c>
      <c r="G104" s="4">
        <v>257.10000000000002</v>
      </c>
      <c r="H104">
        <v>-1</v>
      </c>
      <c r="I104" s="3">
        <v>162</v>
      </c>
      <c r="J104" s="5">
        <v>99</v>
      </c>
      <c r="L104" s="5">
        <v>99</v>
      </c>
    </row>
    <row r="105" spans="2:12">
      <c r="B105" s="3">
        <v>566</v>
      </c>
      <c r="C105" s="3">
        <v>69</v>
      </c>
      <c r="D105">
        <f t="shared" si="1"/>
        <v>-256.8</v>
      </c>
      <c r="E105" s="4">
        <v>-7.82</v>
      </c>
      <c r="F105" s="5">
        <v>103</v>
      </c>
      <c r="G105" s="4">
        <v>256.8</v>
      </c>
      <c r="H105">
        <v>-1</v>
      </c>
      <c r="I105" s="3"/>
      <c r="J105" s="5">
        <v>98</v>
      </c>
      <c r="L105" s="5">
        <v>98</v>
      </c>
    </row>
    <row r="106" spans="2:12">
      <c r="B106" s="3">
        <v>568</v>
      </c>
      <c r="C106" s="3">
        <v>69.5</v>
      </c>
      <c r="D106">
        <f>G106*H106</f>
        <v>-256.45</v>
      </c>
      <c r="E106" s="4">
        <v>-7.81</v>
      </c>
      <c r="F106" s="5">
        <v>104</v>
      </c>
      <c r="G106" s="4">
        <v>256.45</v>
      </c>
      <c r="H106">
        <v>-1</v>
      </c>
      <c r="I106" s="3">
        <v>161</v>
      </c>
      <c r="J106" s="5">
        <v>97</v>
      </c>
      <c r="L106" s="5">
        <v>97</v>
      </c>
    </row>
    <row r="107" spans="2:12">
      <c r="B107" s="3">
        <v>570</v>
      </c>
      <c r="C107" s="3">
        <v>70</v>
      </c>
      <c r="D107">
        <f t="shared" ref="D107:D170" si="2">G107*H107</f>
        <v>-256.10000000000002</v>
      </c>
      <c r="E107" s="4">
        <v>-7.8</v>
      </c>
      <c r="F107" s="5">
        <v>105</v>
      </c>
      <c r="G107" s="4">
        <v>256.10000000000002</v>
      </c>
      <c r="H107">
        <v>-1</v>
      </c>
      <c r="I107" s="3">
        <v>160</v>
      </c>
      <c r="J107" s="5">
        <v>96</v>
      </c>
      <c r="L107" s="5">
        <v>96</v>
      </c>
    </row>
    <row r="108" spans="2:12">
      <c r="B108" s="3">
        <v>572</v>
      </c>
      <c r="C108" s="3">
        <v>70.5</v>
      </c>
      <c r="D108">
        <f t="shared" si="2"/>
        <v>-255.75</v>
      </c>
      <c r="E108" s="4">
        <v>-7.79</v>
      </c>
      <c r="F108" s="5">
        <v>106</v>
      </c>
      <c r="G108" s="4">
        <v>255.75</v>
      </c>
      <c r="H108">
        <v>-1</v>
      </c>
      <c r="I108" s="3"/>
      <c r="J108" s="5">
        <v>95</v>
      </c>
      <c r="L108" s="5">
        <v>95</v>
      </c>
    </row>
    <row r="109" spans="2:12">
      <c r="B109" s="3">
        <v>574</v>
      </c>
      <c r="C109" s="3">
        <v>71</v>
      </c>
      <c r="D109">
        <f t="shared" si="2"/>
        <v>-255.4</v>
      </c>
      <c r="E109" s="4">
        <v>-7.78</v>
      </c>
      <c r="F109" s="5">
        <v>107</v>
      </c>
      <c r="G109" s="4">
        <v>255.4</v>
      </c>
      <c r="H109">
        <v>-1</v>
      </c>
      <c r="I109" s="3">
        <v>159</v>
      </c>
      <c r="J109" s="5">
        <v>94</v>
      </c>
      <c r="K109">
        <v>-7.7</v>
      </c>
      <c r="L109" s="5">
        <v>94</v>
      </c>
    </row>
    <row r="110" spans="2:12">
      <c r="B110" s="3">
        <v>576</v>
      </c>
      <c r="C110" s="3">
        <v>71.5</v>
      </c>
      <c r="D110">
        <f t="shared" si="2"/>
        <v>-255.05</v>
      </c>
      <c r="E110" s="4">
        <v>-7.77</v>
      </c>
      <c r="F110" s="5">
        <v>108</v>
      </c>
      <c r="G110" s="4">
        <v>255.05</v>
      </c>
      <c r="H110">
        <v>-1</v>
      </c>
      <c r="I110" s="3">
        <v>158</v>
      </c>
      <c r="J110" s="5">
        <v>93</v>
      </c>
      <c r="L110" s="5">
        <v>93</v>
      </c>
    </row>
    <row r="111" spans="2:12">
      <c r="B111" s="3">
        <v>578</v>
      </c>
      <c r="C111" s="3">
        <v>72</v>
      </c>
      <c r="D111">
        <f t="shared" si="2"/>
        <v>-254.7</v>
      </c>
      <c r="E111" s="4">
        <v>-7.76</v>
      </c>
      <c r="F111" s="5">
        <v>109</v>
      </c>
      <c r="G111" s="4">
        <v>254.7</v>
      </c>
      <c r="H111">
        <v>-1</v>
      </c>
      <c r="I111" s="3"/>
      <c r="J111" s="5">
        <v>92</v>
      </c>
      <c r="L111" s="5">
        <v>92</v>
      </c>
    </row>
    <row r="112" spans="2:12">
      <c r="B112" s="3">
        <v>580</v>
      </c>
      <c r="C112" s="3">
        <v>72.5</v>
      </c>
      <c r="D112">
        <f t="shared" si="2"/>
        <v>-254.35</v>
      </c>
      <c r="E112" s="4">
        <v>-7.75</v>
      </c>
      <c r="F112" s="5">
        <v>110</v>
      </c>
      <c r="G112" s="4">
        <v>254.35</v>
      </c>
      <c r="H112">
        <v>-1</v>
      </c>
      <c r="I112" s="3">
        <v>157</v>
      </c>
      <c r="J112" s="5">
        <v>91</v>
      </c>
      <c r="L112" s="5">
        <v>91</v>
      </c>
    </row>
    <row r="113" spans="2:12">
      <c r="B113" s="3">
        <v>582</v>
      </c>
      <c r="C113" s="3">
        <v>73</v>
      </c>
      <c r="D113">
        <f t="shared" si="2"/>
        <v>-254</v>
      </c>
      <c r="E113" s="4">
        <v>-7.74</v>
      </c>
      <c r="F113" s="5">
        <v>111</v>
      </c>
      <c r="G113" s="4">
        <v>254</v>
      </c>
      <c r="H113">
        <v>-1</v>
      </c>
      <c r="I113" s="3">
        <v>156</v>
      </c>
      <c r="J113" s="5">
        <v>90</v>
      </c>
      <c r="L113" s="5">
        <v>90</v>
      </c>
    </row>
    <row r="114" spans="2:12">
      <c r="B114" s="3">
        <v>584</v>
      </c>
      <c r="C114" s="3">
        <v>73.5</v>
      </c>
      <c r="D114">
        <f t="shared" si="2"/>
        <v>-253.65</v>
      </c>
      <c r="E114" s="4">
        <v>-7.73</v>
      </c>
      <c r="F114" s="5">
        <v>112</v>
      </c>
      <c r="G114" s="4">
        <v>253.65</v>
      </c>
      <c r="H114">
        <v>-1</v>
      </c>
      <c r="I114" s="3"/>
      <c r="J114" s="5">
        <v>89</v>
      </c>
      <c r="K114">
        <v>-7.8</v>
      </c>
      <c r="L114" s="5">
        <v>89</v>
      </c>
    </row>
    <row r="115" spans="2:12">
      <c r="B115" s="3">
        <v>585</v>
      </c>
      <c r="C115" s="3">
        <v>74</v>
      </c>
      <c r="D115">
        <f t="shared" si="2"/>
        <v>-253.3</v>
      </c>
      <c r="E115" s="4">
        <v>-7.72</v>
      </c>
      <c r="F115" s="5">
        <v>113</v>
      </c>
      <c r="G115" s="4">
        <v>253.3</v>
      </c>
      <c r="H115">
        <v>-1</v>
      </c>
      <c r="I115" s="3">
        <v>155</v>
      </c>
      <c r="J115" s="5">
        <v>88</v>
      </c>
      <c r="L115" s="5">
        <v>88</v>
      </c>
    </row>
    <row r="116" spans="2:12">
      <c r="B116" s="3">
        <v>587</v>
      </c>
      <c r="C116" s="3">
        <v>74.5</v>
      </c>
      <c r="D116">
        <f t="shared" si="2"/>
        <v>-252.95</v>
      </c>
      <c r="E116" s="4">
        <v>-7.71</v>
      </c>
      <c r="F116" s="5">
        <v>114</v>
      </c>
      <c r="G116" s="4">
        <v>252.95</v>
      </c>
      <c r="H116">
        <v>-1</v>
      </c>
      <c r="I116" s="3">
        <v>154</v>
      </c>
      <c r="J116" s="5">
        <v>87</v>
      </c>
      <c r="L116" s="5">
        <v>87</v>
      </c>
    </row>
    <row r="117" spans="2:12">
      <c r="B117" s="3">
        <v>588</v>
      </c>
      <c r="C117" s="3">
        <v>75</v>
      </c>
      <c r="D117">
        <f t="shared" si="2"/>
        <v>-252.59</v>
      </c>
      <c r="E117" s="4">
        <v>-7.7</v>
      </c>
      <c r="F117" s="5">
        <v>115</v>
      </c>
      <c r="G117" s="4">
        <v>252.59</v>
      </c>
      <c r="H117">
        <v>-1</v>
      </c>
      <c r="I117" s="3"/>
      <c r="J117" s="5">
        <v>86</v>
      </c>
      <c r="K117">
        <v>-7.9</v>
      </c>
      <c r="L117" s="5">
        <v>86</v>
      </c>
    </row>
    <row r="118" spans="2:12">
      <c r="B118" s="3">
        <v>590</v>
      </c>
      <c r="C118" s="3">
        <v>75.5</v>
      </c>
      <c r="D118">
        <f t="shared" si="2"/>
        <v>-252.24</v>
      </c>
      <c r="E118" s="4">
        <v>-7.69</v>
      </c>
      <c r="F118" s="5">
        <v>116</v>
      </c>
      <c r="G118" s="4">
        <v>252.24</v>
      </c>
      <c r="H118">
        <v>-1</v>
      </c>
      <c r="I118" s="3">
        <v>153</v>
      </c>
      <c r="J118" s="5">
        <v>85</v>
      </c>
      <c r="L118" s="5">
        <v>85</v>
      </c>
    </row>
    <row r="119" spans="2:12">
      <c r="B119" s="3">
        <v>591</v>
      </c>
      <c r="C119" s="3">
        <v>76</v>
      </c>
      <c r="D119">
        <f t="shared" si="2"/>
        <v>-251.89</v>
      </c>
      <c r="E119" s="4">
        <v>-7.68</v>
      </c>
      <c r="F119" s="5">
        <v>117</v>
      </c>
      <c r="G119" s="4">
        <v>251.89</v>
      </c>
      <c r="H119">
        <v>-1</v>
      </c>
      <c r="I119" s="3">
        <v>152</v>
      </c>
      <c r="J119" s="5">
        <v>84</v>
      </c>
      <c r="L119" s="5">
        <v>84</v>
      </c>
    </row>
    <row r="120" spans="2:12">
      <c r="B120" s="3">
        <v>592</v>
      </c>
      <c r="C120" s="3">
        <v>76.5</v>
      </c>
      <c r="D120">
        <f t="shared" si="2"/>
        <v>-251.54</v>
      </c>
      <c r="E120" s="4">
        <v>-7.67</v>
      </c>
      <c r="F120" s="5">
        <v>118</v>
      </c>
      <c r="G120" s="4">
        <v>251.54</v>
      </c>
      <c r="H120">
        <v>-1</v>
      </c>
      <c r="I120" s="3">
        <v>151</v>
      </c>
      <c r="J120" s="5">
        <v>83</v>
      </c>
      <c r="L120" s="5">
        <v>83</v>
      </c>
    </row>
    <row r="121" spans="2:12">
      <c r="B121" s="3">
        <v>594</v>
      </c>
      <c r="C121" s="3">
        <v>77</v>
      </c>
      <c r="D121">
        <f t="shared" si="2"/>
        <v>-251.19</v>
      </c>
      <c r="E121" s="4">
        <v>-7.66</v>
      </c>
      <c r="F121" s="5">
        <v>119</v>
      </c>
      <c r="G121" s="4">
        <v>251.19</v>
      </c>
      <c r="H121">
        <v>-1</v>
      </c>
      <c r="I121" s="3"/>
      <c r="J121" s="5">
        <v>82</v>
      </c>
      <c r="K121">
        <v>-8</v>
      </c>
      <c r="L121" s="5">
        <v>82</v>
      </c>
    </row>
    <row r="122" spans="2:12">
      <c r="B122" s="3">
        <v>595</v>
      </c>
      <c r="C122" s="3">
        <v>77.5</v>
      </c>
      <c r="D122">
        <f t="shared" si="2"/>
        <v>-250.84</v>
      </c>
      <c r="E122" s="4">
        <v>-7.65</v>
      </c>
      <c r="F122" s="5">
        <v>120</v>
      </c>
      <c r="G122" s="4">
        <v>250.84</v>
      </c>
      <c r="H122">
        <v>-1</v>
      </c>
      <c r="I122" s="3">
        <v>150</v>
      </c>
      <c r="J122" s="5">
        <v>81</v>
      </c>
      <c r="L122" s="5">
        <v>81</v>
      </c>
    </row>
    <row r="123" spans="2:12">
      <c r="B123" s="3">
        <v>596</v>
      </c>
      <c r="C123" s="3">
        <v>78</v>
      </c>
      <c r="D123">
        <f t="shared" si="2"/>
        <v>-250.49</v>
      </c>
      <c r="E123" s="4">
        <v>-7.64</v>
      </c>
      <c r="F123" s="5">
        <v>121</v>
      </c>
      <c r="G123" s="4">
        <v>250.49</v>
      </c>
      <c r="H123">
        <v>-1</v>
      </c>
      <c r="I123" s="3">
        <v>149</v>
      </c>
      <c r="J123" s="5">
        <v>80</v>
      </c>
      <c r="L123" s="5">
        <v>80</v>
      </c>
    </row>
    <row r="124" spans="2:12">
      <c r="B124" s="3">
        <v>598</v>
      </c>
      <c r="C124" s="3">
        <v>78.5</v>
      </c>
      <c r="D124">
        <f t="shared" si="2"/>
        <v>-250.14</v>
      </c>
      <c r="E124" s="4">
        <v>-7.63</v>
      </c>
      <c r="F124" s="5">
        <v>122</v>
      </c>
      <c r="G124" s="4">
        <v>250.14</v>
      </c>
      <c r="H124">
        <v>-1</v>
      </c>
      <c r="I124" s="3">
        <v>148</v>
      </c>
      <c r="J124" s="5">
        <v>79</v>
      </c>
      <c r="K124">
        <v>-8.1</v>
      </c>
      <c r="L124" s="5">
        <v>79</v>
      </c>
    </row>
    <row r="125" spans="2:12">
      <c r="B125" s="3">
        <v>599</v>
      </c>
      <c r="C125" s="3">
        <v>79</v>
      </c>
      <c r="D125">
        <f t="shared" si="2"/>
        <v>-249.79</v>
      </c>
      <c r="E125" s="4">
        <v>-7.62</v>
      </c>
      <c r="F125" s="5">
        <v>123</v>
      </c>
      <c r="G125" s="4">
        <v>249.79</v>
      </c>
      <c r="H125">
        <v>-1</v>
      </c>
      <c r="I125" s="3"/>
      <c r="J125" s="5">
        <v>78</v>
      </c>
      <c r="L125" s="5">
        <v>78</v>
      </c>
    </row>
    <row r="126" spans="2:12">
      <c r="B126" s="3">
        <v>600</v>
      </c>
      <c r="C126" s="3">
        <v>79.5</v>
      </c>
      <c r="D126">
        <f t="shared" si="2"/>
        <v>-249.44</v>
      </c>
      <c r="E126" s="4">
        <v>-7.61</v>
      </c>
      <c r="F126" s="5">
        <v>124</v>
      </c>
      <c r="G126" s="4">
        <v>249.44</v>
      </c>
      <c r="H126">
        <v>-1</v>
      </c>
      <c r="I126" s="3">
        <v>147</v>
      </c>
      <c r="J126" s="5">
        <v>77</v>
      </c>
      <c r="L126" s="5">
        <v>77</v>
      </c>
    </row>
    <row r="127" spans="2:12">
      <c r="B127" s="3">
        <v>601</v>
      </c>
      <c r="C127" s="3">
        <v>80</v>
      </c>
      <c r="D127">
        <f t="shared" si="2"/>
        <v>-249.09</v>
      </c>
      <c r="E127" s="4">
        <v>-7.6</v>
      </c>
      <c r="F127" s="5">
        <v>125</v>
      </c>
      <c r="G127" s="4">
        <v>249.09</v>
      </c>
      <c r="H127">
        <v>-1</v>
      </c>
      <c r="I127" s="3">
        <v>146</v>
      </c>
      <c r="J127" s="5">
        <v>76</v>
      </c>
      <c r="L127" s="5">
        <v>76</v>
      </c>
    </row>
    <row r="128" spans="2:12">
      <c r="B128" s="3">
        <v>602</v>
      </c>
      <c r="C128" s="3">
        <v>80.5</v>
      </c>
      <c r="D128">
        <f t="shared" si="2"/>
        <v>-248.88</v>
      </c>
      <c r="E128" s="4">
        <v>-7.59</v>
      </c>
      <c r="F128" s="5">
        <v>126</v>
      </c>
      <c r="G128" s="4">
        <v>248.88</v>
      </c>
      <c r="H128">
        <v>-1</v>
      </c>
      <c r="I128" s="3"/>
      <c r="J128" s="5">
        <v>75</v>
      </c>
      <c r="L128" s="5">
        <v>75</v>
      </c>
    </row>
    <row r="129" spans="2:12">
      <c r="B129" s="3">
        <v>603</v>
      </c>
      <c r="C129" s="3">
        <v>81</v>
      </c>
      <c r="D129">
        <f t="shared" si="2"/>
        <v>-248.64</v>
      </c>
      <c r="E129" s="4">
        <v>-7.58</v>
      </c>
      <c r="F129" s="5">
        <v>127</v>
      </c>
      <c r="G129" s="4">
        <v>248.64</v>
      </c>
      <c r="H129">
        <v>-1</v>
      </c>
      <c r="I129" s="3">
        <v>145</v>
      </c>
      <c r="J129" s="5">
        <v>74</v>
      </c>
      <c r="K129">
        <v>-8.1999999999999993</v>
      </c>
      <c r="L129" s="5">
        <v>74</v>
      </c>
    </row>
    <row r="130" spans="2:12">
      <c r="B130" s="3">
        <v>604</v>
      </c>
      <c r="C130" s="3">
        <v>81.5</v>
      </c>
      <c r="D130">
        <f t="shared" si="2"/>
        <v>-248.4</v>
      </c>
      <c r="E130" s="4">
        <v>-7.57</v>
      </c>
      <c r="F130" s="5">
        <v>128</v>
      </c>
      <c r="G130" s="4">
        <v>248.4</v>
      </c>
      <c r="H130">
        <v>-1</v>
      </c>
      <c r="I130" s="3">
        <v>144</v>
      </c>
      <c r="J130" s="5">
        <v>73</v>
      </c>
      <c r="L130" s="5">
        <v>73</v>
      </c>
    </row>
    <row r="131" spans="2:12">
      <c r="B131" s="3">
        <v>606</v>
      </c>
      <c r="C131" s="3">
        <v>82</v>
      </c>
      <c r="D131">
        <f t="shared" si="2"/>
        <v>-248.16</v>
      </c>
      <c r="E131" s="4">
        <v>-7.56</v>
      </c>
      <c r="F131" s="5">
        <v>129</v>
      </c>
      <c r="G131" s="4">
        <v>248.16</v>
      </c>
      <c r="H131">
        <v>-1</v>
      </c>
      <c r="I131" s="3">
        <v>143</v>
      </c>
      <c r="J131" s="5">
        <v>72</v>
      </c>
      <c r="L131" s="5">
        <v>72</v>
      </c>
    </row>
    <row r="132" spans="2:12">
      <c r="B132" s="3">
        <v>607</v>
      </c>
      <c r="C132" s="3">
        <v>82.5</v>
      </c>
      <c r="D132">
        <f t="shared" si="2"/>
        <v>-247.92</v>
      </c>
      <c r="E132" s="4">
        <v>-7.55</v>
      </c>
      <c r="F132" s="5">
        <v>130</v>
      </c>
      <c r="G132" s="4">
        <v>247.92</v>
      </c>
      <c r="H132">
        <v>-1</v>
      </c>
      <c r="I132" s="3">
        <v>142</v>
      </c>
      <c r="J132" s="5">
        <v>71</v>
      </c>
      <c r="L132" s="5">
        <v>71</v>
      </c>
    </row>
    <row r="133" spans="2:12">
      <c r="B133" s="3">
        <v>608</v>
      </c>
      <c r="C133" s="3">
        <v>83</v>
      </c>
      <c r="D133">
        <f t="shared" si="2"/>
        <v>-247.68</v>
      </c>
      <c r="E133" s="4">
        <v>-7.54</v>
      </c>
      <c r="F133" s="5">
        <v>131</v>
      </c>
      <c r="G133" s="4">
        <v>247.68</v>
      </c>
      <c r="H133">
        <v>-1</v>
      </c>
      <c r="I133" s="3"/>
      <c r="J133" s="5">
        <v>70</v>
      </c>
      <c r="K133">
        <v>-8.3000000000000007</v>
      </c>
      <c r="L133" s="5">
        <v>70</v>
      </c>
    </row>
    <row r="134" spans="2:12">
      <c r="B134" s="3">
        <v>610</v>
      </c>
      <c r="C134" s="3">
        <v>83.5</v>
      </c>
      <c r="D134">
        <f t="shared" si="2"/>
        <v>-247.43</v>
      </c>
      <c r="E134" s="4">
        <v>-7.53</v>
      </c>
      <c r="F134" s="5">
        <v>132</v>
      </c>
      <c r="G134" s="4">
        <v>247.43</v>
      </c>
      <c r="H134">
        <v>-1</v>
      </c>
      <c r="I134" s="3">
        <v>141</v>
      </c>
      <c r="J134" s="5">
        <v>69</v>
      </c>
      <c r="L134" s="5">
        <v>69</v>
      </c>
    </row>
    <row r="135" spans="2:12">
      <c r="B135" s="3">
        <v>611</v>
      </c>
      <c r="C135" s="3">
        <v>84</v>
      </c>
      <c r="D135">
        <f t="shared" si="2"/>
        <v>-247.18</v>
      </c>
      <c r="E135" s="4">
        <v>-7.52</v>
      </c>
      <c r="F135" s="5">
        <v>133</v>
      </c>
      <c r="G135" s="4">
        <v>247.18</v>
      </c>
      <c r="H135">
        <v>-1</v>
      </c>
      <c r="I135" s="3">
        <v>140</v>
      </c>
      <c r="J135" s="5">
        <v>68</v>
      </c>
      <c r="L135" s="5">
        <v>68</v>
      </c>
    </row>
    <row r="136" spans="2:12">
      <c r="B136" s="3">
        <v>612</v>
      </c>
      <c r="C136" s="3">
        <v>84.5</v>
      </c>
      <c r="D136">
        <f t="shared" si="2"/>
        <v>-246.93</v>
      </c>
      <c r="E136" s="4">
        <v>-7.51</v>
      </c>
      <c r="F136" s="5">
        <v>134</v>
      </c>
      <c r="G136" s="4">
        <v>246.93</v>
      </c>
      <c r="H136">
        <v>-1</v>
      </c>
      <c r="I136" s="3"/>
      <c r="J136" s="5">
        <v>67</v>
      </c>
      <c r="K136">
        <v>-8.4</v>
      </c>
      <c r="L136" s="5">
        <v>67</v>
      </c>
    </row>
    <row r="137" spans="2:12">
      <c r="B137" s="3">
        <v>613</v>
      </c>
      <c r="C137" s="3">
        <v>85</v>
      </c>
      <c r="D137">
        <f t="shared" si="2"/>
        <v>-246.68</v>
      </c>
      <c r="E137" s="4">
        <v>-7.5</v>
      </c>
      <c r="F137" s="5">
        <v>135</v>
      </c>
      <c r="G137" s="4">
        <v>246.68</v>
      </c>
      <c r="H137">
        <v>-1</v>
      </c>
      <c r="I137" s="3">
        <v>139</v>
      </c>
      <c r="J137" s="5">
        <v>66</v>
      </c>
      <c r="L137" s="5">
        <v>66</v>
      </c>
    </row>
    <row r="138" spans="2:12">
      <c r="B138" s="3">
        <v>614</v>
      </c>
      <c r="C138" s="3">
        <v>85.5</v>
      </c>
      <c r="D138">
        <f t="shared" si="2"/>
        <v>-246.43</v>
      </c>
      <c r="E138" s="4">
        <v>-7.49</v>
      </c>
      <c r="F138" s="5">
        <v>136</v>
      </c>
      <c r="G138" s="4">
        <v>246.43</v>
      </c>
      <c r="H138">
        <v>-1</v>
      </c>
      <c r="I138" s="3">
        <v>138</v>
      </c>
      <c r="J138" s="5">
        <v>65</v>
      </c>
      <c r="L138" s="5">
        <v>65</v>
      </c>
    </row>
    <row r="139" spans="2:12">
      <c r="B139" s="3">
        <v>616</v>
      </c>
      <c r="C139" s="3">
        <v>86</v>
      </c>
      <c r="D139">
        <f t="shared" si="2"/>
        <v>-246.19</v>
      </c>
      <c r="E139" s="4">
        <v>-7.48</v>
      </c>
      <c r="F139" s="5">
        <v>137</v>
      </c>
      <c r="G139" s="4">
        <v>246.19</v>
      </c>
      <c r="H139">
        <v>-1</v>
      </c>
      <c r="I139" s="3"/>
      <c r="J139" s="5">
        <v>64</v>
      </c>
      <c r="L139" s="5">
        <v>64</v>
      </c>
    </row>
    <row r="140" spans="2:12">
      <c r="B140" s="131">
        <v>617</v>
      </c>
      <c r="C140" s="3">
        <v>86.5</v>
      </c>
      <c r="D140">
        <f t="shared" si="2"/>
        <v>-245.95</v>
      </c>
      <c r="E140" s="4">
        <v>-7.47</v>
      </c>
      <c r="F140" s="5">
        <v>138</v>
      </c>
      <c r="G140" s="4">
        <v>245.95</v>
      </c>
      <c r="H140">
        <v>-1</v>
      </c>
      <c r="I140" s="3">
        <v>137</v>
      </c>
      <c r="J140" s="5">
        <v>63</v>
      </c>
      <c r="K140">
        <v>-8.5</v>
      </c>
      <c r="L140" s="5">
        <v>63</v>
      </c>
    </row>
    <row r="141" spans="2:12">
      <c r="B141" s="3">
        <v>618</v>
      </c>
      <c r="C141" s="3">
        <v>87</v>
      </c>
      <c r="D141">
        <f t="shared" si="2"/>
        <v>-245.72</v>
      </c>
      <c r="E141" s="4">
        <v>-7.46</v>
      </c>
      <c r="F141" s="5">
        <v>139</v>
      </c>
      <c r="G141" s="4">
        <v>245.72</v>
      </c>
      <c r="H141">
        <v>-1</v>
      </c>
      <c r="I141" s="3">
        <v>136</v>
      </c>
      <c r="J141" s="5">
        <v>62</v>
      </c>
      <c r="L141" s="5">
        <v>62</v>
      </c>
    </row>
    <row r="142" spans="2:12">
      <c r="B142" s="3">
        <v>619</v>
      </c>
      <c r="C142" s="3">
        <v>87.5</v>
      </c>
      <c r="D142">
        <f t="shared" si="2"/>
        <v>-245.49</v>
      </c>
      <c r="E142" s="4">
        <v>-7.45</v>
      </c>
      <c r="F142" s="5">
        <v>140</v>
      </c>
      <c r="G142" s="4">
        <v>245.49</v>
      </c>
      <c r="H142">
        <v>-1</v>
      </c>
      <c r="I142" s="3"/>
      <c r="J142" s="5">
        <v>61</v>
      </c>
      <c r="L142" s="5">
        <v>61</v>
      </c>
    </row>
    <row r="143" spans="2:12">
      <c r="B143" s="3">
        <v>620</v>
      </c>
      <c r="C143" s="3">
        <v>88</v>
      </c>
      <c r="D143">
        <f t="shared" si="2"/>
        <v>-245.26</v>
      </c>
      <c r="E143" s="4">
        <v>-7.44</v>
      </c>
      <c r="F143" s="5">
        <v>141</v>
      </c>
      <c r="G143" s="4">
        <v>245.26</v>
      </c>
      <c r="H143">
        <v>-1</v>
      </c>
      <c r="I143" s="3">
        <v>135</v>
      </c>
      <c r="J143" s="5">
        <v>60</v>
      </c>
      <c r="K143">
        <v>-8.6</v>
      </c>
      <c r="L143" s="5">
        <v>60</v>
      </c>
    </row>
    <row r="144" spans="2:12">
      <c r="B144" s="3">
        <v>621</v>
      </c>
      <c r="C144" s="3">
        <v>88.5</v>
      </c>
      <c r="D144">
        <f t="shared" si="2"/>
        <v>-245.03</v>
      </c>
      <c r="E144" s="4">
        <v>-7.43</v>
      </c>
      <c r="F144" s="5">
        <v>142</v>
      </c>
      <c r="G144" s="4">
        <v>245.03</v>
      </c>
      <c r="H144">
        <v>-1</v>
      </c>
      <c r="I144" s="3">
        <v>134</v>
      </c>
      <c r="J144" s="5">
        <v>59</v>
      </c>
      <c r="L144" s="5">
        <v>59</v>
      </c>
    </row>
    <row r="145" spans="2:12">
      <c r="B145" s="3">
        <v>622</v>
      </c>
      <c r="C145" s="3">
        <v>89</v>
      </c>
      <c r="D145">
        <f t="shared" si="2"/>
        <v>-244.8</v>
      </c>
      <c r="E145" s="4">
        <v>-7.42</v>
      </c>
      <c r="F145" s="5">
        <v>143</v>
      </c>
      <c r="G145" s="4">
        <v>244.8</v>
      </c>
      <c r="H145">
        <v>-1</v>
      </c>
      <c r="I145" s="3"/>
      <c r="J145" s="5">
        <v>58</v>
      </c>
      <c r="L145" s="5">
        <v>58</v>
      </c>
    </row>
    <row r="146" spans="2:12">
      <c r="B146" s="3">
        <v>624</v>
      </c>
      <c r="C146" s="3">
        <v>89.5</v>
      </c>
      <c r="D146">
        <f t="shared" si="2"/>
        <v>-244.57</v>
      </c>
      <c r="E146" s="4">
        <v>-7.41</v>
      </c>
      <c r="F146" s="5">
        <v>144</v>
      </c>
      <c r="G146" s="4">
        <v>244.57</v>
      </c>
      <c r="H146">
        <v>-1</v>
      </c>
      <c r="I146" s="3">
        <v>133</v>
      </c>
      <c r="J146" s="5">
        <v>57</v>
      </c>
      <c r="K146">
        <v>-8.6999999999999993</v>
      </c>
      <c r="L146" s="5">
        <v>57</v>
      </c>
    </row>
    <row r="147" spans="2:12">
      <c r="B147" s="3">
        <v>625</v>
      </c>
      <c r="C147" s="3">
        <v>90</v>
      </c>
      <c r="D147">
        <f t="shared" si="2"/>
        <v>-244.34</v>
      </c>
      <c r="E147" s="4">
        <v>-7.4</v>
      </c>
      <c r="F147" s="5">
        <v>145</v>
      </c>
      <c r="G147" s="4">
        <v>244.34</v>
      </c>
      <c r="H147">
        <v>-1</v>
      </c>
      <c r="I147" s="3">
        <v>132</v>
      </c>
      <c r="J147" s="5">
        <v>56</v>
      </c>
      <c r="L147" s="5">
        <v>56</v>
      </c>
    </row>
    <row r="148" spans="2:12">
      <c r="B148" s="3">
        <v>626</v>
      </c>
      <c r="C148" s="3">
        <v>90.5</v>
      </c>
      <c r="D148">
        <f t="shared" si="2"/>
        <v>-244.11</v>
      </c>
      <c r="E148" s="4">
        <v>-7.39</v>
      </c>
      <c r="F148" s="5">
        <v>146</v>
      </c>
      <c r="G148" s="4">
        <v>244.11</v>
      </c>
      <c r="H148">
        <v>-1</v>
      </c>
      <c r="I148" s="3"/>
      <c r="J148" s="5">
        <v>55</v>
      </c>
      <c r="L148" s="5">
        <v>55</v>
      </c>
    </row>
    <row r="149" spans="2:12">
      <c r="B149" s="3">
        <v>628</v>
      </c>
      <c r="C149" s="3"/>
      <c r="D149">
        <f t="shared" si="2"/>
        <v>-243.88</v>
      </c>
      <c r="E149" s="4">
        <v>-7.38</v>
      </c>
      <c r="F149" s="5">
        <v>147</v>
      </c>
      <c r="G149" s="4">
        <v>243.88</v>
      </c>
      <c r="H149">
        <v>-1</v>
      </c>
      <c r="I149" s="3">
        <v>131</v>
      </c>
      <c r="J149" s="5">
        <v>54</v>
      </c>
      <c r="L149" s="5">
        <v>54</v>
      </c>
    </row>
    <row r="150" spans="2:12">
      <c r="B150" s="3">
        <v>629</v>
      </c>
      <c r="C150" s="3">
        <v>91</v>
      </c>
      <c r="D150">
        <f t="shared" si="2"/>
        <v>-243.65</v>
      </c>
      <c r="E150" s="4">
        <v>-7.37</v>
      </c>
      <c r="F150" s="5">
        <v>148</v>
      </c>
      <c r="G150" s="4">
        <v>243.65</v>
      </c>
      <c r="H150">
        <v>-1</v>
      </c>
      <c r="I150" s="3">
        <v>130</v>
      </c>
      <c r="J150" s="5">
        <v>53</v>
      </c>
      <c r="K150">
        <v>-8.8000000000000007</v>
      </c>
      <c r="L150" s="5">
        <v>53</v>
      </c>
    </row>
    <row r="151" spans="2:12">
      <c r="B151" s="3">
        <v>630</v>
      </c>
      <c r="C151" s="3"/>
      <c r="D151">
        <f t="shared" si="2"/>
        <v>-243.42</v>
      </c>
      <c r="E151" s="4">
        <v>-7.36</v>
      </c>
      <c r="F151" s="5">
        <v>149</v>
      </c>
      <c r="G151" s="4">
        <v>243.42</v>
      </c>
      <c r="H151">
        <v>-1</v>
      </c>
      <c r="I151" s="3"/>
      <c r="J151" s="5">
        <v>52</v>
      </c>
      <c r="L151" s="5">
        <v>52</v>
      </c>
    </row>
    <row r="152" spans="2:12">
      <c r="B152" s="3">
        <v>631</v>
      </c>
      <c r="C152" s="3">
        <v>91.5</v>
      </c>
      <c r="D152">
        <f t="shared" si="2"/>
        <v>-243.19</v>
      </c>
      <c r="E152" s="4">
        <v>-7.35</v>
      </c>
      <c r="F152" s="5">
        <v>150</v>
      </c>
      <c r="G152" s="4">
        <v>243.19</v>
      </c>
      <c r="H152">
        <v>-1</v>
      </c>
      <c r="I152" s="3">
        <v>129</v>
      </c>
      <c r="J152" s="5">
        <v>51</v>
      </c>
      <c r="L152" s="5">
        <v>51</v>
      </c>
    </row>
    <row r="153" spans="2:12">
      <c r="B153" s="3">
        <v>633</v>
      </c>
      <c r="C153" s="3"/>
      <c r="D153">
        <f t="shared" si="2"/>
        <v>-242.98</v>
      </c>
      <c r="E153" s="4">
        <v>-7.34</v>
      </c>
      <c r="F153" s="5">
        <v>151</v>
      </c>
      <c r="G153" s="4">
        <v>242.98</v>
      </c>
      <c r="H153">
        <v>-1</v>
      </c>
      <c r="I153" s="3">
        <v>128</v>
      </c>
      <c r="J153" s="5">
        <v>50</v>
      </c>
      <c r="K153">
        <v>-8.9</v>
      </c>
      <c r="L153" s="5">
        <v>50</v>
      </c>
    </row>
    <row r="154" spans="2:12">
      <c r="B154" s="3">
        <v>635</v>
      </c>
      <c r="C154" s="3">
        <v>92</v>
      </c>
      <c r="D154">
        <f t="shared" si="2"/>
        <v>-242.79</v>
      </c>
      <c r="E154" s="4">
        <v>-7.33</v>
      </c>
      <c r="F154" s="5">
        <v>152</v>
      </c>
      <c r="G154" s="4">
        <v>242.79</v>
      </c>
      <c r="H154">
        <v>-1</v>
      </c>
      <c r="I154" s="3"/>
      <c r="J154" s="5">
        <v>49</v>
      </c>
      <c r="L154" s="5">
        <v>49</v>
      </c>
    </row>
    <row r="155" spans="2:12">
      <c r="B155" s="3">
        <v>637</v>
      </c>
      <c r="C155" s="3"/>
      <c r="D155">
        <f t="shared" si="2"/>
        <v>-242.6</v>
      </c>
      <c r="E155" s="4">
        <v>-7.32</v>
      </c>
      <c r="F155" s="5">
        <v>153</v>
      </c>
      <c r="G155" s="4">
        <v>242.6</v>
      </c>
      <c r="H155">
        <v>-1</v>
      </c>
      <c r="I155" s="3">
        <v>127</v>
      </c>
      <c r="J155" s="5">
        <v>48</v>
      </c>
      <c r="L155" s="5">
        <v>48</v>
      </c>
    </row>
    <row r="156" spans="2:12">
      <c r="B156" s="3">
        <v>639</v>
      </c>
      <c r="C156" s="3">
        <v>92.5</v>
      </c>
      <c r="D156">
        <f t="shared" si="2"/>
        <v>-242.42</v>
      </c>
      <c r="E156" s="4">
        <v>-7.31</v>
      </c>
      <c r="F156" s="5">
        <v>154</v>
      </c>
      <c r="G156" s="4">
        <v>242.42</v>
      </c>
      <c r="H156">
        <v>-1</v>
      </c>
      <c r="I156" s="3">
        <v>126</v>
      </c>
      <c r="J156" s="5">
        <v>47</v>
      </c>
      <c r="K156">
        <v>-9</v>
      </c>
      <c r="L156" s="5">
        <v>47</v>
      </c>
    </row>
    <row r="157" spans="2:12">
      <c r="B157" s="3">
        <v>640</v>
      </c>
      <c r="C157" s="3"/>
      <c r="D157">
        <f t="shared" si="2"/>
        <v>-242.24</v>
      </c>
      <c r="E157" s="4">
        <v>-7.3</v>
      </c>
      <c r="F157" s="5">
        <v>155</v>
      </c>
      <c r="G157" s="4">
        <v>242.24</v>
      </c>
      <c r="H157">
        <v>-1</v>
      </c>
      <c r="I157" s="3"/>
      <c r="J157" s="5">
        <v>46</v>
      </c>
      <c r="L157" s="5">
        <v>46</v>
      </c>
    </row>
    <row r="158" spans="2:12">
      <c r="B158" s="3">
        <v>642</v>
      </c>
      <c r="C158" s="3">
        <v>93</v>
      </c>
      <c r="D158">
        <f t="shared" si="2"/>
        <v>-242.05</v>
      </c>
      <c r="E158" s="4">
        <v>-7.29</v>
      </c>
      <c r="F158" s="5">
        <v>156</v>
      </c>
      <c r="G158" s="4">
        <v>242.05</v>
      </c>
      <c r="H158">
        <v>-1</v>
      </c>
      <c r="I158" s="3">
        <v>125</v>
      </c>
      <c r="J158" s="5">
        <v>45</v>
      </c>
      <c r="L158" s="5">
        <v>45</v>
      </c>
    </row>
    <row r="159" spans="2:12">
      <c r="B159" s="3">
        <v>643</v>
      </c>
      <c r="C159" s="3"/>
      <c r="D159">
        <f t="shared" si="2"/>
        <v>-241.86</v>
      </c>
      <c r="E159" s="4">
        <v>-7.28</v>
      </c>
      <c r="F159" s="5">
        <v>157</v>
      </c>
      <c r="G159" s="4">
        <v>241.86</v>
      </c>
      <c r="H159">
        <v>-1</v>
      </c>
      <c r="I159" s="3">
        <v>124</v>
      </c>
      <c r="J159" s="5">
        <v>44</v>
      </c>
      <c r="K159">
        <v>-9.1</v>
      </c>
      <c r="L159" s="5">
        <v>44</v>
      </c>
    </row>
    <row r="160" spans="2:12">
      <c r="B160" s="3">
        <v>645</v>
      </c>
      <c r="C160" s="3">
        <v>93.5</v>
      </c>
      <c r="D160">
        <f t="shared" si="2"/>
        <v>-241.67</v>
      </c>
      <c r="E160" s="4">
        <v>-7.27</v>
      </c>
      <c r="F160" s="5">
        <v>158</v>
      </c>
      <c r="G160" s="4">
        <v>241.67</v>
      </c>
      <c r="H160">
        <v>-1</v>
      </c>
      <c r="I160" s="3"/>
      <c r="J160" s="5">
        <v>43</v>
      </c>
      <c r="L160" s="5">
        <v>43</v>
      </c>
    </row>
    <row r="161" spans="2:12">
      <c r="B161" s="3">
        <v>646</v>
      </c>
      <c r="C161" s="3"/>
      <c r="D161">
        <f t="shared" si="2"/>
        <v>-241.48</v>
      </c>
      <c r="E161" s="4">
        <v>-7.26</v>
      </c>
      <c r="F161" s="5">
        <v>159</v>
      </c>
      <c r="G161" s="4">
        <v>241.48</v>
      </c>
      <c r="H161">
        <v>-1</v>
      </c>
      <c r="I161" s="3">
        <v>123</v>
      </c>
      <c r="J161" s="5">
        <v>42</v>
      </c>
      <c r="L161" s="5">
        <v>42</v>
      </c>
    </row>
    <row r="162" spans="2:12">
      <c r="B162" s="3">
        <v>648</v>
      </c>
      <c r="C162" s="3">
        <v>94</v>
      </c>
      <c r="D162">
        <f t="shared" si="2"/>
        <v>-241.29</v>
      </c>
      <c r="E162" s="4">
        <v>-7.25</v>
      </c>
      <c r="F162" s="5">
        <v>160</v>
      </c>
      <c r="G162" s="4">
        <v>241.29</v>
      </c>
      <c r="H162">
        <v>-1</v>
      </c>
      <c r="I162" s="3">
        <v>122</v>
      </c>
      <c r="J162" s="5">
        <v>41</v>
      </c>
      <c r="K162">
        <v>-9.1999999999999993</v>
      </c>
      <c r="L162" s="5">
        <v>41</v>
      </c>
    </row>
    <row r="163" spans="2:12">
      <c r="B163" s="3">
        <v>650</v>
      </c>
      <c r="C163" s="3"/>
      <c r="D163">
        <f t="shared" si="2"/>
        <v>-241.1</v>
      </c>
      <c r="E163" s="4">
        <v>-7.24</v>
      </c>
      <c r="F163" s="5">
        <v>161</v>
      </c>
      <c r="G163" s="4">
        <v>241.1</v>
      </c>
      <c r="H163">
        <v>-1</v>
      </c>
      <c r="I163" s="3"/>
      <c r="J163" s="5">
        <v>40</v>
      </c>
      <c r="L163" s="5">
        <v>40</v>
      </c>
    </row>
    <row r="164" spans="2:12">
      <c r="B164" s="3">
        <v>651</v>
      </c>
      <c r="C164" s="3">
        <v>94.5</v>
      </c>
      <c r="D164">
        <f t="shared" si="2"/>
        <v>-240.91</v>
      </c>
      <c r="E164" s="4">
        <v>-7.23</v>
      </c>
      <c r="F164" s="5">
        <v>162</v>
      </c>
      <c r="G164" s="4">
        <v>240.91</v>
      </c>
      <c r="H164">
        <v>-1</v>
      </c>
      <c r="I164" s="3">
        <v>121</v>
      </c>
      <c r="J164" s="5">
        <v>39</v>
      </c>
      <c r="L164" s="5">
        <v>39</v>
      </c>
    </row>
    <row r="165" spans="2:12">
      <c r="B165" s="3">
        <v>653</v>
      </c>
      <c r="C165" s="3"/>
      <c r="D165">
        <f t="shared" si="2"/>
        <v>-240.72</v>
      </c>
      <c r="E165" s="4">
        <v>-7.22</v>
      </c>
      <c r="F165" s="5">
        <v>163</v>
      </c>
      <c r="G165" s="4">
        <v>240.72</v>
      </c>
      <c r="H165">
        <v>-1</v>
      </c>
      <c r="I165" s="3">
        <v>120</v>
      </c>
      <c r="J165" s="5">
        <v>38</v>
      </c>
      <c r="K165">
        <v>-9.3000000000000007</v>
      </c>
      <c r="L165" s="5">
        <v>38</v>
      </c>
    </row>
    <row r="166" spans="2:12">
      <c r="B166" s="3">
        <v>655</v>
      </c>
      <c r="C166" s="3">
        <v>95</v>
      </c>
      <c r="D166">
        <f t="shared" si="2"/>
        <v>-240.53</v>
      </c>
      <c r="E166" s="4">
        <v>-7.21</v>
      </c>
      <c r="F166" s="5">
        <v>164</v>
      </c>
      <c r="G166" s="4">
        <v>240.53</v>
      </c>
      <c r="H166">
        <v>-1</v>
      </c>
      <c r="I166" s="3">
        <v>119</v>
      </c>
      <c r="J166" s="5">
        <v>37</v>
      </c>
      <c r="L166" s="5">
        <v>37</v>
      </c>
    </row>
    <row r="167" spans="2:12">
      <c r="B167" s="3">
        <v>656</v>
      </c>
      <c r="C167" s="3"/>
      <c r="D167">
        <f t="shared" si="2"/>
        <v>-240.34</v>
      </c>
      <c r="E167" s="4"/>
      <c r="F167" s="5">
        <v>165</v>
      </c>
      <c r="G167" s="4">
        <v>240.34</v>
      </c>
      <c r="H167">
        <v>-1</v>
      </c>
      <c r="I167" s="3"/>
      <c r="J167" s="5">
        <v>36</v>
      </c>
      <c r="L167" s="5">
        <v>36</v>
      </c>
    </row>
    <row r="168" spans="2:12">
      <c r="B168" s="3">
        <v>658</v>
      </c>
      <c r="C168" s="3">
        <v>95.5</v>
      </c>
      <c r="D168">
        <f t="shared" si="2"/>
        <v>-240.15</v>
      </c>
      <c r="E168" s="4">
        <v>-7.2</v>
      </c>
      <c r="F168" s="5">
        <v>166</v>
      </c>
      <c r="G168" s="4">
        <v>240.15</v>
      </c>
      <c r="H168">
        <v>-1</v>
      </c>
      <c r="I168" s="3">
        <v>118</v>
      </c>
      <c r="J168" s="5">
        <v>35</v>
      </c>
      <c r="K168">
        <v>-9.4</v>
      </c>
      <c r="L168" s="5">
        <v>35</v>
      </c>
    </row>
    <row r="169" spans="2:12">
      <c r="B169" s="3">
        <v>660</v>
      </c>
      <c r="C169" s="3"/>
      <c r="D169">
        <f t="shared" si="2"/>
        <v>-239.96</v>
      </c>
      <c r="E169" s="4">
        <v>-7.19</v>
      </c>
      <c r="F169" s="5">
        <v>167</v>
      </c>
      <c r="G169" s="4">
        <v>239.96</v>
      </c>
      <c r="H169">
        <v>-1</v>
      </c>
      <c r="I169" s="3">
        <v>117</v>
      </c>
      <c r="J169" s="5">
        <v>34</v>
      </c>
      <c r="L169" s="5">
        <v>34</v>
      </c>
    </row>
    <row r="170" spans="2:12">
      <c r="B170" s="3">
        <v>661</v>
      </c>
      <c r="C170" s="3">
        <v>96</v>
      </c>
      <c r="D170">
        <f t="shared" si="2"/>
        <v>-239.77</v>
      </c>
      <c r="E170" s="4">
        <v>-7.18</v>
      </c>
      <c r="F170" s="5">
        <v>168</v>
      </c>
      <c r="G170" s="4">
        <v>239.77</v>
      </c>
      <c r="H170">
        <v>-1</v>
      </c>
      <c r="I170" s="3">
        <v>116</v>
      </c>
      <c r="J170" s="5">
        <v>33</v>
      </c>
      <c r="K170">
        <v>-9.5</v>
      </c>
      <c r="L170" s="5">
        <v>33</v>
      </c>
    </row>
    <row r="171" spans="2:12">
      <c r="B171" s="3">
        <v>663</v>
      </c>
      <c r="C171" s="3"/>
      <c r="D171">
        <f t="shared" ref="D171:D202" si="3">G171*H171</f>
        <v>-239.58</v>
      </c>
      <c r="E171" s="4">
        <v>-7.17</v>
      </c>
      <c r="F171" s="5">
        <v>169</v>
      </c>
      <c r="G171" s="4">
        <v>239.58</v>
      </c>
      <c r="H171">
        <v>-1</v>
      </c>
      <c r="I171" s="3"/>
      <c r="J171" s="5">
        <v>32</v>
      </c>
      <c r="L171" s="5">
        <v>32</v>
      </c>
    </row>
    <row r="172" spans="2:12">
      <c r="B172" s="3">
        <v>665</v>
      </c>
      <c r="C172" s="3">
        <v>96.5</v>
      </c>
      <c r="D172">
        <f t="shared" si="3"/>
        <v>-239.39</v>
      </c>
      <c r="E172" s="4">
        <v>-7.16</v>
      </c>
      <c r="F172" s="5">
        <v>170</v>
      </c>
      <c r="G172" s="4">
        <v>239.39</v>
      </c>
      <c r="H172">
        <v>-1</v>
      </c>
      <c r="I172" s="3">
        <v>115</v>
      </c>
      <c r="J172" s="5">
        <v>31</v>
      </c>
      <c r="K172">
        <v>-9.6</v>
      </c>
      <c r="L172" s="5">
        <v>31</v>
      </c>
    </row>
    <row r="173" spans="2:12">
      <c r="B173" s="3">
        <v>666</v>
      </c>
      <c r="C173" s="3"/>
      <c r="D173">
        <f t="shared" si="3"/>
        <v>-239.2</v>
      </c>
      <c r="E173" s="4"/>
      <c r="F173" s="5">
        <v>171</v>
      </c>
      <c r="G173" s="4">
        <v>239.2</v>
      </c>
      <c r="H173">
        <v>-1</v>
      </c>
      <c r="I173" s="3">
        <v>114</v>
      </c>
      <c r="J173" s="5">
        <v>30</v>
      </c>
      <c r="L173" s="5">
        <v>30</v>
      </c>
    </row>
    <row r="174" spans="2:12">
      <c r="B174" s="3">
        <v>668</v>
      </c>
      <c r="C174" s="3">
        <v>97</v>
      </c>
      <c r="D174">
        <f t="shared" si="3"/>
        <v>-239.01</v>
      </c>
      <c r="E174" s="4">
        <v>-7.15</v>
      </c>
      <c r="F174" s="5">
        <v>172</v>
      </c>
      <c r="G174" s="4">
        <v>239.01</v>
      </c>
      <c r="H174">
        <v>-1</v>
      </c>
      <c r="I174" s="3">
        <v>113</v>
      </c>
      <c r="J174" s="5">
        <v>29</v>
      </c>
      <c r="K174">
        <v>-9.6999999999999993</v>
      </c>
      <c r="L174" s="5">
        <v>29</v>
      </c>
    </row>
    <row r="175" spans="2:12">
      <c r="B175" s="3">
        <v>669</v>
      </c>
      <c r="C175" s="3"/>
      <c r="D175">
        <f t="shared" si="3"/>
        <v>-238.82</v>
      </c>
      <c r="E175" s="4">
        <v>-7.14</v>
      </c>
      <c r="F175" s="5">
        <v>173</v>
      </c>
      <c r="G175" s="4">
        <v>238.82</v>
      </c>
      <c r="H175">
        <v>-1</v>
      </c>
      <c r="I175" s="3"/>
      <c r="J175" s="5">
        <v>28</v>
      </c>
      <c r="L175" s="5">
        <v>28</v>
      </c>
    </row>
    <row r="176" spans="2:12">
      <c r="B176" s="3">
        <v>671</v>
      </c>
      <c r="C176" s="3">
        <v>97.5</v>
      </c>
      <c r="D176">
        <f t="shared" si="3"/>
        <v>-238.63</v>
      </c>
      <c r="E176" s="4">
        <v>-7.13</v>
      </c>
      <c r="F176" s="5">
        <v>174</v>
      </c>
      <c r="G176" s="4">
        <v>238.63</v>
      </c>
      <c r="H176">
        <v>-1</v>
      </c>
      <c r="I176" s="3">
        <v>112</v>
      </c>
      <c r="J176" s="5">
        <v>27</v>
      </c>
      <c r="K176">
        <v>-9.8000000000000007</v>
      </c>
      <c r="L176" s="5">
        <v>27</v>
      </c>
    </row>
    <row r="177" spans="2:12">
      <c r="B177" s="3">
        <v>673</v>
      </c>
      <c r="C177" s="3"/>
      <c r="D177">
        <f t="shared" si="3"/>
        <v>-238.44</v>
      </c>
      <c r="E177" s="4">
        <v>-7.12</v>
      </c>
      <c r="F177" s="5">
        <v>175</v>
      </c>
      <c r="G177" s="4">
        <v>238.44</v>
      </c>
      <c r="H177">
        <v>-1</v>
      </c>
      <c r="I177" s="3">
        <v>111</v>
      </c>
      <c r="J177" s="5">
        <v>26</v>
      </c>
      <c r="L177" s="5">
        <v>26</v>
      </c>
    </row>
    <row r="178" spans="2:12">
      <c r="B178" s="3">
        <v>674</v>
      </c>
      <c r="C178" s="3">
        <v>98</v>
      </c>
      <c r="D178">
        <f t="shared" si="3"/>
        <v>-238.25</v>
      </c>
      <c r="E178" s="4">
        <v>-7.11</v>
      </c>
      <c r="F178" s="5">
        <v>176</v>
      </c>
      <c r="G178" s="4">
        <v>238.25</v>
      </c>
      <c r="H178">
        <v>-1</v>
      </c>
      <c r="I178" s="3">
        <v>110</v>
      </c>
      <c r="J178" s="5">
        <v>25</v>
      </c>
      <c r="K178">
        <v>-9.9</v>
      </c>
      <c r="L178" s="5">
        <v>25</v>
      </c>
    </row>
    <row r="179" spans="2:12">
      <c r="B179" s="3">
        <v>676</v>
      </c>
      <c r="C179" s="3"/>
      <c r="D179">
        <f t="shared" si="3"/>
        <v>-237.87</v>
      </c>
      <c r="E179" s="4">
        <v>-7.1</v>
      </c>
      <c r="F179" s="5">
        <v>177</v>
      </c>
      <c r="G179" s="4">
        <v>237.87</v>
      </c>
      <c r="H179">
        <v>-1</v>
      </c>
      <c r="I179" s="3"/>
      <c r="J179" s="5">
        <v>24</v>
      </c>
      <c r="L179" s="5">
        <v>24</v>
      </c>
    </row>
    <row r="180" spans="2:12">
      <c r="B180" s="3">
        <v>678</v>
      </c>
      <c r="C180" s="3">
        <v>98.5</v>
      </c>
      <c r="D180">
        <f t="shared" si="3"/>
        <v>-237.68</v>
      </c>
      <c r="F180" s="5">
        <v>178</v>
      </c>
      <c r="G180" s="4">
        <v>237.68</v>
      </c>
      <c r="H180">
        <v>-1</v>
      </c>
      <c r="I180" s="3">
        <v>109</v>
      </c>
      <c r="J180" s="5">
        <v>23</v>
      </c>
      <c r="K180">
        <v>-10</v>
      </c>
      <c r="L180" s="5">
        <v>23</v>
      </c>
    </row>
    <row r="181" spans="2:12">
      <c r="B181" s="3">
        <v>679</v>
      </c>
      <c r="C181" s="3"/>
      <c r="D181">
        <f t="shared" si="3"/>
        <v>-237.49</v>
      </c>
      <c r="E181" s="4">
        <v>-7.09</v>
      </c>
      <c r="F181" s="5">
        <v>179</v>
      </c>
      <c r="G181" s="4">
        <v>237.49</v>
      </c>
      <c r="H181">
        <v>-1</v>
      </c>
      <c r="I181" s="3">
        <v>108</v>
      </c>
      <c r="J181" s="5">
        <v>22</v>
      </c>
      <c r="L181" s="5">
        <v>22</v>
      </c>
    </row>
    <row r="182" spans="2:12">
      <c r="B182" s="3">
        <v>681</v>
      </c>
      <c r="C182" s="3">
        <v>99</v>
      </c>
      <c r="D182">
        <f t="shared" si="3"/>
        <v>-237.3</v>
      </c>
      <c r="E182" s="4">
        <v>-7.08</v>
      </c>
      <c r="F182" s="5">
        <v>180</v>
      </c>
      <c r="G182" s="4">
        <v>237.3</v>
      </c>
      <c r="H182">
        <v>-1</v>
      </c>
      <c r="I182" s="3">
        <v>107</v>
      </c>
      <c r="J182" s="5">
        <v>21</v>
      </c>
      <c r="K182">
        <v>-10.1</v>
      </c>
      <c r="L182" s="5">
        <v>21</v>
      </c>
    </row>
    <row r="183" spans="2:12">
      <c r="B183" s="3">
        <v>682</v>
      </c>
      <c r="C183" s="3"/>
      <c r="D183">
        <f t="shared" si="3"/>
        <v>-237.05</v>
      </c>
      <c r="E183" s="4">
        <v>-7.07</v>
      </c>
      <c r="F183" s="5">
        <v>181</v>
      </c>
      <c r="G183" s="4">
        <v>237.05</v>
      </c>
      <c r="H183">
        <v>-1</v>
      </c>
      <c r="I183" s="3"/>
      <c r="J183" s="5">
        <v>20</v>
      </c>
      <c r="L183" s="5">
        <v>20</v>
      </c>
    </row>
    <row r="184" spans="2:12">
      <c r="B184" s="3">
        <v>684</v>
      </c>
      <c r="C184" s="3">
        <v>99.5</v>
      </c>
      <c r="D184">
        <f t="shared" si="3"/>
        <v>-236.8</v>
      </c>
      <c r="E184" s="4">
        <v>-7.06</v>
      </c>
      <c r="F184" s="5">
        <v>182</v>
      </c>
      <c r="G184" s="4">
        <v>236.8</v>
      </c>
      <c r="H184">
        <v>-1</v>
      </c>
      <c r="I184" s="3">
        <v>106</v>
      </c>
      <c r="J184" s="5">
        <v>19</v>
      </c>
      <c r="K184">
        <v>-10.199999999999999</v>
      </c>
      <c r="L184" s="5">
        <v>19</v>
      </c>
    </row>
    <row r="185" spans="2:12">
      <c r="B185" s="3">
        <v>686</v>
      </c>
      <c r="C185" s="3"/>
      <c r="D185">
        <f t="shared" si="3"/>
        <v>-236.55</v>
      </c>
      <c r="E185" s="4">
        <v>-7.05</v>
      </c>
      <c r="F185" s="5">
        <v>183</v>
      </c>
      <c r="G185" s="4">
        <v>236.55</v>
      </c>
      <c r="H185">
        <v>-1</v>
      </c>
      <c r="I185" s="3">
        <v>105</v>
      </c>
      <c r="J185" s="5">
        <v>18</v>
      </c>
      <c r="L185" s="5">
        <v>18</v>
      </c>
    </row>
    <row r="186" spans="2:12">
      <c r="B186" s="3">
        <v>687</v>
      </c>
      <c r="C186" s="3">
        <v>100</v>
      </c>
      <c r="D186">
        <f t="shared" si="3"/>
        <v>-236.3</v>
      </c>
      <c r="E186" s="4">
        <v>-7.04</v>
      </c>
      <c r="F186" s="5">
        <v>184</v>
      </c>
      <c r="G186" s="4">
        <v>236.3</v>
      </c>
      <c r="H186">
        <v>-1</v>
      </c>
      <c r="I186" s="3">
        <v>104</v>
      </c>
      <c r="J186" s="5">
        <v>17</v>
      </c>
      <c r="K186">
        <v>-10.3</v>
      </c>
      <c r="L186" s="5">
        <v>17</v>
      </c>
    </row>
    <row r="187" spans="2:12">
      <c r="B187" s="3">
        <v>689</v>
      </c>
      <c r="C187" s="3"/>
      <c r="D187">
        <f t="shared" si="3"/>
        <v>-236.05</v>
      </c>
      <c r="E187" s="4"/>
      <c r="F187" s="5">
        <v>185</v>
      </c>
      <c r="G187" s="4">
        <v>236.05</v>
      </c>
      <c r="H187">
        <v>-1</v>
      </c>
      <c r="I187" s="3"/>
      <c r="J187" s="5">
        <v>16</v>
      </c>
      <c r="L187" s="5">
        <v>16</v>
      </c>
    </row>
    <row r="188" spans="2:12">
      <c r="B188" s="3">
        <v>690</v>
      </c>
      <c r="C188" s="3">
        <v>100.5</v>
      </c>
      <c r="D188">
        <f t="shared" si="3"/>
        <v>-235.8</v>
      </c>
      <c r="E188" s="4">
        <v>-7.03</v>
      </c>
      <c r="F188" s="5">
        <v>186</v>
      </c>
      <c r="G188" s="4">
        <v>235.8</v>
      </c>
      <c r="H188">
        <v>-1</v>
      </c>
      <c r="I188" s="3">
        <v>103</v>
      </c>
      <c r="J188" s="5">
        <v>15</v>
      </c>
      <c r="K188">
        <v>-10.4</v>
      </c>
      <c r="L188" s="5">
        <v>15</v>
      </c>
    </row>
    <row r="189" spans="2:12">
      <c r="B189" s="3">
        <v>692</v>
      </c>
      <c r="C189" s="3"/>
      <c r="D189">
        <f t="shared" si="3"/>
        <v>-235.55</v>
      </c>
      <c r="E189" s="4">
        <v>-7.02</v>
      </c>
      <c r="F189" s="5">
        <v>187</v>
      </c>
      <c r="G189" s="4">
        <v>235.55</v>
      </c>
      <c r="H189">
        <v>-1</v>
      </c>
      <c r="I189" s="3">
        <v>102</v>
      </c>
      <c r="J189" s="5">
        <v>14</v>
      </c>
      <c r="L189" s="5">
        <v>14</v>
      </c>
    </row>
    <row r="190" spans="2:12">
      <c r="B190" s="3">
        <v>694</v>
      </c>
      <c r="C190" s="3">
        <v>101</v>
      </c>
      <c r="D190">
        <f t="shared" si="3"/>
        <v>-235.3</v>
      </c>
      <c r="E190" s="4">
        <v>-7.01</v>
      </c>
      <c r="F190" s="5">
        <v>188</v>
      </c>
      <c r="G190" s="4">
        <v>235.3</v>
      </c>
      <c r="H190">
        <v>-1</v>
      </c>
      <c r="I190" s="3">
        <v>101</v>
      </c>
      <c r="J190" s="5">
        <v>13</v>
      </c>
      <c r="K190">
        <v>-10.5</v>
      </c>
      <c r="L190" s="5">
        <v>13</v>
      </c>
    </row>
    <row r="191" spans="2:12">
      <c r="B191" s="3">
        <v>695</v>
      </c>
      <c r="C191" s="3"/>
      <c r="D191">
        <f t="shared" si="3"/>
        <v>-235.05</v>
      </c>
      <c r="E191" s="4">
        <v>-7</v>
      </c>
      <c r="F191" s="5">
        <v>189</v>
      </c>
      <c r="G191" s="4">
        <v>235.05</v>
      </c>
      <c r="H191">
        <v>-1</v>
      </c>
      <c r="I191" s="3">
        <v>100</v>
      </c>
      <c r="J191" s="5">
        <v>12</v>
      </c>
      <c r="L191" s="5">
        <v>12</v>
      </c>
    </row>
    <row r="192" spans="2:12">
      <c r="B192" s="3">
        <v>697</v>
      </c>
      <c r="C192" s="3">
        <v>101.5</v>
      </c>
      <c r="D192">
        <f t="shared" si="3"/>
        <v>-234.8</v>
      </c>
      <c r="E192" s="4"/>
      <c r="F192" s="5">
        <v>190</v>
      </c>
      <c r="G192" s="4">
        <v>234.8</v>
      </c>
      <c r="H192">
        <v>-1</v>
      </c>
      <c r="I192" s="3">
        <v>99</v>
      </c>
      <c r="J192" s="5">
        <v>11</v>
      </c>
      <c r="K192">
        <v>-10.6</v>
      </c>
      <c r="L192" s="5">
        <v>11</v>
      </c>
    </row>
    <row r="193" spans="2:12">
      <c r="B193" s="3">
        <v>698</v>
      </c>
      <c r="C193" s="3"/>
      <c r="D193">
        <f t="shared" si="3"/>
        <v>-234.55</v>
      </c>
      <c r="E193" s="4">
        <v>-6.99</v>
      </c>
      <c r="F193" s="5">
        <v>191</v>
      </c>
      <c r="G193" s="4">
        <v>234.55</v>
      </c>
      <c r="H193">
        <v>-1</v>
      </c>
      <c r="I193" s="3">
        <v>98</v>
      </c>
      <c r="J193" s="5">
        <v>10</v>
      </c>
      <c r="L193" s="5">
        <v>10</v>
      </c>
    </row>
    <row r="194" spans="2:12">
      <c r="B194" s="3">
        <v>700</v>
      </c>
      <c r="C194" s="3">
        <v>102</v>
      </c>
      <c r="D194">
        <f t="shared" si="3"/>
        <v>-234.3</v>
      </c>
      <c r="E194" s="4">
        <v>-6.98</v>
      </c>
      <c r="F194" s="5">
        <v>192</v>
      </c>
      <c r="G194" s="4">
        <v>234.3</v>
      </c>
      <c r="H194">
        <v>-1</v>
      </c>
      <c r="I194" s="3">
        <v>97</v>
      </c>
      <c r="J194" s="5">
        <v>9</v>
      </c>
      <c r="K194">
        <v>-10.7</v>
      </c>
      <c r="L194" s="5">
        <v>9</v>
      </c>
    </row>
    <row r="195" spans="2:12">
      <c r="B195" s="3">
        <v>701</v>
      </c>
      <c r="C195" s="3"/>
      <c r="D195">
        <f t="shared" si="3"/>
        <v>-234.05</v>
      </c>
      <c r="E195" s="4">
        <v>-6.97</v>
      </c>
      <c r="F195" s="5">
        <v>193</v>
      </c>
      <c r="G195" s="4">
        <v>234.05</v>
      </c>
      <c r="H195">
        <v>-1</v>
      </c>
      <c r="I195" s="3">
        <v>95</v>
      </c>
      <c r="J195" s="5">
        <v>8</v>
      </c>
      <c r="L195" s="5">
        <v>8</v>
      </c>
    </row>
    <row r="196" spans="2:12">
      <c r="B196" s="3">
        <v>703</v>
      </c>
      <c r="C196" s="3">
        <v>102.5</v>
      </c>
      <c r="D196">
        <f t="shared" si="3"/>
        <v>-233.8</v>
      </c>
      <c r="E196" s="4">
        <v>-6.96</v>
      </c>
      <c r="F196" s="5">
        <v>194</v>
      </c>
      <c r="G196" s="4">
        <v>233.8</v>
      </c>
      <c r="H196">
        <v>-1</v>
      </c>
      <c r="I196" s="3">
        <v>93</v>
      </c>
      <c r="J196" s="5">
        <v>7</v>
      </c>
      <c r="K196">
        <v>-10.8</v>
      </c>
      <c r="L196" s="5">
        <v>7</v>
      </c>
    </row>
    <row r="197" spans="2:12">
      <c r="B197" s="3">
        <v>705</v>
      </c>
      <c r="C197" s="3"/>
      <c r="D197">
        <f t="shared" si="3"/>
        <v>-233.55</v>
      </c>
      <c r="E197" s="4"/>
      <c r="F197" s="5">
        <v>195</v>
      </c>
      <c r="G197" s="4">
        <v>233.55</v>
      </c>
      <c r="H197">
        <v>-1</v>
      </c>
      <c r="I197" s="3">
        <v>91</v>
      </c>
      <c r="J197" s="5">
        <v>6</v>
      </c>
      <c r="L197" s="5">
        <v>6</v>
      </c>
    </row>
    <row r="198" spans="2:12">
      <c r="B198" s="3">
        <v>706</v>
      </c>
      <c r="C198" s="3">
        <v>103</v>
      </c>
      <c r="D198">
        <f t="shared" si="3"/>
        <v>-233.3</v>
      </c>
      <c r="E198" s="4">
        <v>-6.95</v>
      </c>
      <c r="F198" s="5">
        <v>196</v>
      </c>
      <c r="G198" s="4">
        <v>233.3</v>
      </c>
      <c r="H198">
        <v>-1</v>
      </c>
      <c r="I198" s="3">
        <v>89</v>
      </c>
      <c r="J198" s="5">
        <v>5</v>
      </c>
      <c r="K198">
        <v>-10.9</v>
      </c>
      <c r="L198" s="5">
        <v>5</v>
      </c>
    </row>
    <row r="199" spans="2:12">
      <c r="B199" s="3">
        <v>708</v>
      </c>
      <c r="C199" s="3"/>
      <c r="D199">
        <f t="shared" si="3"/>
        <v>-233.05</v>
      </c>
      <c r="E199" s="4">
        <v>-6.94</v>
      </c>
      <c r="F199" s="5">
        <v>197</v>
      </c>
      <c r="G199" s="4">
        <v>233.05</v>
      </c>
      <c r="H199">
        <v>-1</v>
      </c>
      <c r="I199" s="3">
        <v>87</v>
      </c>
      <c r="J199" s="5">
        <v>4</v>
      </c>
      <c r="K199">
        <v>-11</v>
      </c>
      <c r="L199" s="5">
        <v>4</v>
      </c>
    </row>
    <row r="200" spans="2:12">
      <c r="B200" s="3">
        <v>709</v>
      </c>
      <c r="C200" s="3">
        <v>103.5</v>
      </c>
      <c r="D200">
        <f t="shared" si="3"/>
        <v>-232.8</v>
      </c>
      <c r="E200" s="4">
        <v>-6.93</v>
      </c>
      <c r="F200" s="5">
        <v>198</v>
      </c>
      <c r="G200" s="4">
        <v>232.8</v>
      </c>
      <c r="H200">
        <v>-1</v>
      </c>
      <c r="I200" s="3">
        <v>85</v>
      </c>
      <c r="J200" s="5">
        <v>3</v>
      </c>
      <c r="K200">
        <v>-11.1</v>
      </c>
      <c r="L200" s="5">
        <v>3</v>
      </c>
    </row>
    <row r="201" spans="2:12">
      <c r="B201" s="3">
        <v>711</v>
      </c>
      <c r="C201" s="3"/>
      <c r="D201">
        <f t="shared" si="3"/>
        <v>-232.65</v>
      </c>
      <c r="E201" s="4">
        <v>-6.92</v>
      </c>
      <c r="F201" s="5">
        <v>199</v>
      </c>
      <c r="G201" s="4">
        <v>232.65</v>
      </c>
      <c r="H201">
        <v>-1</v>
      </c>
      <c r="I201" s="3">
        <v>83</v>
      </c>
      <c r="J201" s="5">
        <v>2</v>
      </c>
      <c r="K201">
        <v>-11.2</v>
      </c>
      <c r="L201" s="5">
        <v>2</v>
      </c>
    </row>
    <row r="202" spans="2:12">
      <c r="B202" s="3">
        <v>712</v>
      </c>
      <c r="C202" s="3">
        <v>104</v>
      </c>
      <c r="D202">
        <f t="shared" si="3"/>
        <v>-232.3</v>
      </c>
      <c r="E202" s="4">
        <v>-6.91</v>
      </c>
      <c r="F202" s="5">
        <v>200</v>
      </c>
      <c r="G202" s="4">
        <v>232.3</v>
      </c>
      <c r="H202">
        <v>-1</v>
      </c>
      <c r="I202" s="3">
        <v>80</v>
      </c>
      <c r="J202" s="5">
        <v>1</v>
      </c>
      <c r="K202">
        <v>-11.4</v>
      </c>
      <c r="L202" s="5">
        <v>1</v>
      </c>
    </row>
    <row r="203" spans="2:12">
      <c r="B203">
        <v>0</v>
      </c>
      <c r="C203" s="3">
        <v>0</v>
      </c>
      <c r="D203" s="3">
        <v>0</v>
      </c>
      <c r="E203" s="3">
        <v>0</v>
      </c>
      <c r="F203" s="5">
        <v>0</v>
      </c>
      <c r="I203" s="3">
        <v>0</v>
      </c>
      <c r="J203" s="5">
        <v>0</v>
      </c>
      <c r="L203" s="5">
        <v>0</v>
      </c>
    </row>
    <row r="204" spans="2:12">
      <c r="C204" s="3"/>
      <c r="I204" s="3"/>
    </row>
    <row r="205" spans="2:12">
      <c r="C205" s="3"/>
      <c r="I205" s="3"/>
    </row>
  </sheetData>
  <phoneticPr fontId="3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1"/>
  <sheetViews>
    <sheetView workbookViewId="0">
      <selection activeCell="H20" sqref="H20"/>
    </sheetView>
  </sheetViews>
  <sheetFormatPr defaultRowHeight="12.75"/>
  <cols>
    <col min="1" max="1" width="3.85546875" bestFit="1" customWidth="1"/>
    <col min="2" max="2" width="7.5703125" bestFit="1" customWidth="1"/>
    <col min="3" max="3" width="23.28515625" bestFit="1" customWidth="1"/>
    <col min="4" max="4" width="17.5703125" bestFit="1" customWidth="1"/>
    <col min="5" max="5" width="14.28515625" bestFit="1" customWidth="1"/>
    <col min="6" max="6" width="20.7109375" bestFit="1" customWidth="1"/>
  </cols>
  <sheetData>
    <row r="1" spans="2:2">
      <c r="B1" s="75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/>
  <dimension ref="A1:V133"/>
  <sheetViews>
    <sheetView showGridLines="0" zoomScaleNormal="100" workbookViewId="0">
      <selection activeCell="A32" sqref="A32"/>
    </sheetView>
  </sheetViews>
  <sheetFormatPr defaultRowHeight="12.75"/>
  <cols>
    <col min="1" max="4" width="32.7109375" style="98" customWidth="1"/>
    <col min="5" max="5" width="27.85546875" customWidth="1"/>
  </cols>
  <sheetData>
    <row r="1" spans="1:22" ht="25.5" customHeight="1" thickBot="1">
      <c r="A1" s="142" t="s">
        <v>40</v>
      </c>
      <c r="B1" s="142"/>
      <c r="C1" s="142"/>
      <c r="D1" s="142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4.25" thickTop="1" thickBot="1">
      <c r="A2" s="92" t="s">
        <v>53</v>
      </c>
      <c r="B2" s="92" t="s">
        <v>128</v>
      </c>
      <c r="C2" s="92" t="s">
        <v>59</v>
      </c>
      <c r="D2" s="92" t="s">
        <v>66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8" thickTop="1" thickBot="1">
      <c r="A3" s="125" t="s">
        <v>47</v>
      </c>
      <c r="B3" s="125" t="s">
        <v>54</v>
      </c>
      <c r="C3" s="128" t="s">
        <v>60</v>
      </c>
      <c r="D3" s="125" t="s">
        <v>67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7.25" thickBot="1">
      <c r="A4" s="126" t="s">
        <v>48</v>
      </c>
      <c r="B4" s="126" t="s">
        <v>55</v>
      </c>
      <c r="C4" s="127" t="s">
        <v>61</v>
      </c>
      <c r="D4" s="126" t="s">
        <v>68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7.25" thickBot="1">
      <c r="A5" s="126" t="s">
        <v>49</v>
      </c>
      <c r="B5" s="126" t="s">
        <v>56</v>
      </c>
      <c r="C5" s="127" t="s">
        <v>62</v>
      </c>
      <c r="D5" s="126" t="s">
        <v>69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7.25" thickBot="1">
      <c r="A6" s="126" t="s">
        <v>50</v>
      </c>
      <c r="B6" s="126" t="s">
        <v>57</v>
      </c>
      <c r="C6" s="127" t="s">
        <v>63</v>
      </c>
      <c r="D6" s="126" t="s">
        <v>70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7.25" thickBot="1">
      <c r="A7" s="126" t="s">
        <v>51</v>
      </c>
      <c r="B7" s="126" t="s">
        <v>58</v>
      </c>
      <c r="C7" s="127" t="s">
        <v>64</v>
      </c>
      <c r="D7" s="126" t="s">
        <v>71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7.25" thickBot="1">
      <c r="A8" s="127" t="s">
        <v>52</v>
      </c>
      <c r="B8" s="126"/>
      <c r="C8" s="127" t="s">
        <v>65</v>
      </c>
      <c r="D8" s="126" t="s">
        <v>72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3.5" thickBot="1">
      <c r="A9" s="94"/>
      <c r="B9" s="94"/>
      <c r="C9" s="94"/>
      <c r="D9" s="94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4.25" thickTop="1" thickBot="1">
      <c r="A10" s="92" t="s">
        <v>73</v>
      </c>
      <c r="B10" s="92" t="s">
        <v>80</v>
      </c>
      <c r="C10" s="92" t="s">
        <v>87</v>
      </c>
      <c r="D10" s="92" t="s">
        <v>94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8" thickTop="1" thickBot="1">
      <c r="A11" s="125" t="s">
        <v>74</v>
      </c>
      <c r="B11" s="125" t="s">
        <v>81</v>
      </c>
      <c r="C11" s="128" t="s">
        <v>88</v>
      </c>
      <c r="D11" s="128" t="s">
        <v>95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7.25" thickBot="1">
      <c r="A12" s="126" t="s">
        <v>75</v>
      </c>
      <c r="B12" s="126" t="s">
        <v>82</v>
      </c>
      <c r="C12" s="127" t="s">
        <v>89</v>
      </c>
      <c r="D12" s="127" t="s">
        <v>96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7.25" thickBot="1">
      <c r="A13" s="126" t="s">
        <v>76</v>
      </c>
      <c r="B13" s="126" t="s">
        <v>83</v>
      </c>
      <c r="C13" s="127" t="s">
        <v>90</v>
      </c>
      <c r="D13" s="127" t="s">
        <v>97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7.25" thickBot="1">
      <c r="A14" s="126" t="s">
        <v>77</v>
      </c>
      <c r="B14" s="126" t="s">
        <v>84</v>
      </c>
      <c r="C14" s="127" t="s">
        <v>91</v>
      </c>
      <c r="D14" s="127" t="s">
        <v>98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7.25" thickBot="1">
      <c r="A15" s="126" t="s">
        <v>78</v>
      </c>
      <c r="B15" s="126" t="s">
        <v>85</v>
      </c>
      <c r="C15" s="127" t="s">
        <v>92</v>
      </c>
      <c r="D15" s="127" t="s">
        <v>99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7.25" thickBot="1">
      <c r="A16" s="126" t="s">
        <v>79</v>
      </c>
      <c r="B16" s="126" t="s">
        <v>86</v>
      </c>
      <c r="C16" s="127" t="s">
        <v>93</v>
      </c>
      <c r="D16" s="127" t="s">
        <v>100</v>
      </c>
      <c r="E16" s="6" t="s">
        <v>18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3.5" thickBot="1">
      <c r="A17" s="94"/>
      <c r="B17" s="94"/>
      <c r="C17" s="94"/>
      <c r="D17" s="9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4.25" thickTop="1" thickBot="1">
      <c r="A18" s="92" t="s">
        <v>101</v>
      </c>
      <c r="B18" s="92" t="s">
        <v>108</v>
      </c>
      <c r="C18" s="92" t="s">
        <v>121</v>
      </c>
      <c r="D18" s="92" t="s">
        <v>122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8" thickTop="1" thickBot="1">
      <c r="A19" s="128" t="s">
        <v>102</v>
      </c>
      <c r="B19" s="128" t="s">
        <v>109</v>
      </c>
      <c r="C19" s="128" t="s">
        <v>115</v>
      </c>
      <c r="D19" s="128" t="s">
        <v>123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7.25" thickBot="1">
      <c r="A20" s="127" t="s">
        <v>103</v>
      </c>
      <c r="B20" s="127" t="s">
        <v>110</v>
      </c>
      <c r="C20" s="127" t="s">
        <v>116</v>
      </c>
      <c r="D20" s="127" t="s">
        <v>124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7.25" thickBot="1">
      <c r="A21" s="127" t="s">
        <v>104</v>
      </c>
      <c r="B21" s="127" t="s">
        <v>111</v>
      </c>
      <c r="C21" s="127" t="s">
        <v>117</v>
      </c>
      <c r="D21" s="127" t="s">
        <v>125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7.25" thickBot="1">
      <c r="A22" s="127" t="s">
        <v>105</v>
      </c>
      <c r="B22" s="127" t="s">
        <v>112</v>
      </c>
      <c r="C22" s="127" t="s">
        <v>118</v>
      </c>
      <c r="D22" s="127" t="s">
        <v>126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7.25" thickBot="1">
      <c r="A23" s="127" t="s">
        <v>106</v>
      </c>
      <c r="B23" s="127" t="s">
        <v>113</v>
      </c>
      <c r="C23" s="127" t="s">
        <v>119</v>
      </c>
      <c r="D23" s="127" t="s">
        <v>127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7.25" thickBot="1">
      <c r="A24" s="127" t="s">
        <v>107</v>
      </c>
      <c r="B24" s="127" t="s">
        <v>114</v>
      </c>
      <c r="C24" s="127" t="s">
        <v>120</v>
      </c>
      <c r="D24" s="12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3.5" thickBot="1">
      <c r="A25" s="94"/>
      <c r="B25" s="94"/>
      <c r="C25" s="94"/>
      <c r="D25" s="9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4.25" thickTop="1" thickBot="1">
      <c r="A26" s="92" t="s">
        <v>129</v>
      </c>
      <c r="B26" s="92"/>
      <c r="C26" s="92"/>
      <c r="D26" s="9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8" thickTop="1" thickBot="1">
      <c r="A27" s="128" t="s">
        <v>130</v>
      </c>
      <c r="B27" s="128"/>
      <c r="C27" s="128"/>
      <c r="D27" s="1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7.25" thickBot="1">
      <c r="A28" s="127" t="s">
        <v>131</v>
      </c>
      <c r="B28" s="127"/>
      <c r="C28" s="127"/>
      <c r="D28" s="12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7.25" thickBot="1">
      <c r="A29" s="127" t="s">
        <v>132</v>
      </c>
      <c r="B29" s="127"/>
      <c r="C29" s="127"/>
      <c r="D29" s="12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7.25" thickBot="1">
      <c r="A30" s="127" t="s">
        <v>133</v>
      </c>
      <c r="B30" s="127"/>
      <c r="C30" s="127"/>
      <c r="D30" s="12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7.25" thickBot="1">
      <c r="A31" s="127" t="s">
        <v>135</v>
      </c>
      <c r="B31" s="127"/>
      <c r="C31" s="127"/>
      <c r="D31" s="12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7.25" thickBot="1">
      <c r="A32" s="127" t="s">
        <v>134</v>
      </c>
      <c r="B32" s="127"/>
      <c r="C32" s="127"/>
      <c r="D32" s="12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3.5" thickBot="1">
      <c r="A33" s="94"/>
      <c r="B33" s="94"/>
      <c r="C33" s="94"/>
      <c r="D33" s="9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4.25" thickTop="1" thickBot="1">
      <c r="A34" s="92"/>
      <c r="B34" s="92"/>
      <c r="C34" s="92"/>
      <c r="D34" s="9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8" thickTop="1" thickBot="1">
      <c r="A35" s="128"/>
      <c r="B35" s="125"/>
      <c r="C35" s="128"/>
      <c r="D35" s="128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7.25" thickBot="1">
      <c r="A36" s="127"/>
      <c r="B36" s="126"/>
      <c r="C36" s="127"/>
      <c r="D36" s="12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7.25" thickBot="1">
      <c r="A37" s="127"/>
      <c r="B37" s="126"/>
      <c r="C37" s="127"/>
      <c r="D37" s="12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7.25" thickBot="1">
      <c r="A38" s="127"/>
      <c r="B38" s="126"/>
      <c r="C38" s="127"/>
      <c r="D38" s="12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7.25" thickBot="1">
      <c r="A39" s="127"/>
      <c r="B39" s="126"/>
      <c r="C39" s="127"/>
      <c r="D39" s="12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7.25" thickBot="1">
      <c r="A40" s="127"/>
      <c r="B40" s="126"/>
      <c r="C40" s="127"/>
      <c r="D40" s="12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3.5" thickBot="1">
      <c r="A41" s="94"/>
      <c r="B41" s="94"/>
      <c r="C41" s="94"/>
      <c r="D41" s="9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4.25" thickTop="1" thickBot="1">
      <c r="A42" s="92"/>
      <c r="B42" s="92"/>
      <c r="C42" s="92"/>
      <c r="D42" s="9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8" thickTop="1" thickBot="1">
      <c r="A43" s="128"/>
      <c r="B43" s="128"/>
      <c r="C43" s="128"/>
      <c r="D43" s="128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7.25" thickBot="1">
      <c r="A44" s="127"/>
      <c r="B44" s="127"/>
      <c r="C44" s="127"/>
      <c r="D44" s="12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7.25" thickBot="1">
      <c r="A45" s="127"/>
      <c r="B45" s="127"/>
      <c r="C45" s="127"/>
      <c r="D45" s="12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7.25" thickBot="1">
      <c r="A46" s="127"/>
      <c r="B46" s="127"/>
      <c r="C46" s="127"/>
      <c r="D46" s="12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7.25" thickBot="1">
      <c r="A47" s="127"/>
      <c r="B47" s="127"/>
      <c r="C47" s="127"/>
      <c r="D47" s="12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7.25" thickBot="1">
      <c r="A48" s="127"/>
      <c r="B48" s="127"/>
      <c r="C48" s="127"/>
      <c r="D48" s="12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3.5" thickBot="1">
      <c r="A49" s="94"/>
      <c r="B49" s="94"/>
      <c r="C49" s="94"/>
      <c r="D49" s="9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25" thickTop="1" thickBot="1">
      <c r="A50" s="92"/>
      <c r="B50" s="92"/>
      <c r="C50" s="92"/>
      <c r="D50" s="9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5.75" thickTop="1" thickBot="1">
      <c r="A51" s="93"/>
      <c r="B51" s="93"/>
      <c r="C51" s="93"/>
      <c r="D51" s="93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5.75" thickTop="1" thickBot="1">
      <c r="A52" s="93"/>
      <c r="B52" s="93"/>
      <c r="C52" s="93"/>
      <c r="D52" s="93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5.75" thickTop="1" thickBot="1">
      <c r="A53" s="93"/>
      <c r="B53" s="93"/>
      <c r="C53" s="93"/>
      <c r="D53" s="93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5.75" thickTop="1" thickBot="1">
      <c r="A54" s="93"/>
      <c r="B54" s="93"/>
      <c r="C54" s="93"/>
      <c r="D54" s="93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5.75" thickTop="1" thickBot="1">
      <c r="A55" s="93"/>
      <c r="B55" s="93"/>
      <c r="C55" s="93"/>
      <c r="D55" s="93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5.75" thickTop="1" thickBot="1">
      <c r="A56" s="93"/>
      <c r="B56" s="93"/>
      <c r="C56" s="93"/>
      <c r="D56" s="93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4.25" thickTop="1" thickBot="1">
      <c r="A57" s="95"/>
      <c r="B57" s="95"/>
      <c r="C57" s="95"/>
      <c r="D57" s="95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4.25" thickTop="1" thickBot="1">
      <c r="A58" s="92"/>
      <c r="B58" s="92"/>
      <c r="C58" s="92"/>
      <c r="D58" s="9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5.75" thickTop="1" thickBot="1">
      <c r="A59" s="93"/>
      <c r="B59" s="93"/>
      <c r="C59" s="93"/>
      <c r="D59" s="9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5.75" thickTop="1" thickBot="1">
      <c r="A60" s="93"/>
      <c r="B60" s="93"/>
      <c r="C60" s="93"/>
      <c r="D60" s="93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5.75" thickTop="1" thickBot="1">
      <c r="A61" s="93"/>
      <c r="B61" s="93"/>
      <c r="C61" s="93"/>
      <c r="D61" s="93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5.75" thickTop="1" thickBot="1">
      <c r="A62" s="93"/>
      <c r="B62" s="93"/>
      <c r="C62" s="93"/>
      <c r="D62" s="93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5.75" thickTop="1" thickBot="1">
      <c r="A63" s="93"/>
      <c r="B63" s="93"/>
      <c r="C63" s="93"/>
      <c r="D63" s="93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5.75" thickTop="1" thickBot="1">
      <c r="A64" s="93"/>
      <c r="B64" s="93"/>
      <c r="C64" s="93"/>
      <c r="D64" s="93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4.25" thickTop="1" thickBot="1">
      <c r="A65" s="95"/>
      <c r="B65" s="95"/>
      <c r="C65" s="95"/>
      <c r="D65" s="95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4.25" thickTop="1" thickBot="1">
      <c r="A66" s="96"/>
      <c r="B66" s="96"/>
      <c r="C66" s="96"/>
      <c r="D66" s="9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5.75" thickTop="1" thickBot="1">
      <c r="A67" s="97"/>
      <c r="B67" s="97"/>
      <c r="C67" s="97"/>
      <c r="D67" s="9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5.75" thickTop="1" thickBot="1">
      <c r="A68" s="97"/>
      <c r="B68" s="97"/>
      <c r="C68" s="97"/>
      <c r="D68" s="9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5.75" thickTop="1" thickBot="1">
      <c r="A69" s="97"/>
      <c r="B69" s="97"/>
      <c r="C69" s="97"/>
      <c r="D69" s="9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5.75" thickTop="1" thickBot="1">
      <c r="A70" s="97"/>
      <c r="B70" s="97"/>
      <c r="C70" s="97"/>
      <c r="D70" s="9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5.75" thickTop="1" thickBot="1">
      <c r="A71" s="97"/>
      <c r="B71" s="97"/>
      <c r="C71" s="97"/>
      <c r="D71" s="9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5.75" thickTop="1" thickBot="1">
      <c r="A72" s="97"/>
      <c r="B72" s="97"/>
      <c r="C72" s="97"/>
      <c r="D72" s="9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4.25" thickTop="1" thickBot="1">
      <c r="A73" s="95"/>
      <c r="B73" s="95"/>
      <c r="C73" s="95"/>
      <c r="D73" s="95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4.25" thickTop="1" thickBot="1">
      <c r="A74" s="96"/>
      <c r="B74" s="96"/>
      <c r="C74" s="96"/>
      <c r="D74" s="9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5.75" thickTop="1" thickBot="1">
      <c r="A75" s="97"/>
      <c r="B75" s="97"/>
      <c r="C75" s="97"/>
      <c r="D75" s="9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.75" thickTop="1" thickBot="1">
      <c r="A76" s="97"/>
      <c r="B76" s="97"/>
      <c r="C76" s="97"/>
      <c r="D76" s="9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.75" thickTop="1" thickBot="1">
      <c r="A77" s="97"/>
      <c r="B77" s="97"/>
      <c r="C77" s="97"/>
      <c r="D77" s="9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.75" thickTop="1" thickBot="1">
      <c r="A78" s="97"/>
      <c r="B78" s="97"/>
      <c r="C78" s="97"/>
      <c r="D78" s="9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.75" thickTop="1" thickBot="1">
      <c r="A79" s="97"/>
      <c r="B79" s="97"/>
      <c r="C79" s="97"/>
      <c r="D79" s="9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.75" thickTop="1" thickBot="1">
      <c r="A80" s="97"/>
      <c r="B80" s="97"/>
      <c r="C80" s="97"/>
      <c r="D80" s="9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3.5" thickTop="1">
      <c r="A81" s="95"/>
      <c r="B81" s="95"/>
      <c r="C81" s="95"/>
      <c r="D81" s="95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>
      <c r="A82" s="95"/>
      <c r="B82" s="95"/>
      <c r="C82" s="95"/>
      <c r="D82" s="95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>
      <c r="A83" s="95"/>
      <c r="B83" s="95"/>
      <c r="C83" s="95"/>
      <c r="D83" s="95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>
      <c r="A84" s="95"/>
      <c r="B84" s="95"/>
      <c r="C84" s="95"/>
      <c r="D84" s="95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>
      <c r="A85" s="95"/>
      <c r="B85" s="95"/>
      <c r="C85" s="95"/>
      <c r="D85" s="95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>
      <c r="A86" s="95"/>
      <c r="B86" s="95"/>
      <c r="C86" s="95"/>
      <c r="D86" s="95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>
      <c r="A87" s="95"/>
      <c r="B87" s="95"/>
      <c r="C87" s="95"/>
      <c r="D87" s="95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>
      <c r="A88" s="95"/>
      <c r="B88" s="95"/>
      <c r="C88" s="95"/>
      <c r="D88" s="95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>
      <c r="A89" s="95"/>
      <c r="B89" s="95"/>
      <c r="C89" s="95"/>
      <c r="D89" s="95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>
      <c r="A90" s="95"/>
      <c r="B90" s="95"/>
      <c r="C90" s="95"/>
      <c r="D90" s="95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>
      <c r="A91" s="95"/>
      <c r="B91" s="95"/>
      <c r="C91" s="95"/>
      <c r="D91" s="95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>
      <c r="A92" s="95"/>
      <c r="B92" s="95"/>
      <c r="C92" s="95"/>
      <c r="D92" s="95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>
      <c r="A93" s="95"/>
      <c r="B93" s="95"/>
      <c r="C93" s="95"/>
      <c r="D93" s="95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>
      <c r="A94" s="95"/>
      <c r="B94" s="95"/>
      <c r="C94" s="95"/>
      <c r="D94" s="95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>
      <c r="A95" s="95"/>
      <c r="B95" s="95"/>
      <c r="C95" s="95"/>
      <c r="D95" s="95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>
      <c r="A96" s="95"/>
      <c r="B96" s="95"/>
      <c r="C96" s="95"/>
      <c r="D96" s="95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>
      <c r="A97" s="95"/>
      <c r="B97" s="95"/>
      <c r="C97" s="95"/>
      <c r="D97" s="95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>
      <c r="A98" s="95"/>
      <c r="B98" s="95"/>
      <c r="C98" s="95"/>
      <c r="D98" s="95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>
      <c r="A99" s="95"/>
      <c r="B99" s="95"/>
      <c r="C99" s="95"/>
      <c r="D99" s="95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>
      <c r="A100" s="95"/>
      <c r="B100" s="95"/>
      <c r="C100" s="95"/>
      <c r="D100" s="95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>
      <c r="A101" s="95"/>
      <c r="B101" s="95"/>
      <c r="C101" s="95"/>
      <c r="D101" s="95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>
      <c r="A102" s="95"/>
      <c r="B102" s="95"/>
      <c r="C102" s="95"/>
      <c r="D102" s="95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>
      <c r="A103" s="95"/>
      <c r="B103" s="95"/>
      <c r="C103" s="95"/>
      <c r="D103" s="95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>
      <c r="A104" s="95"/>
      <c r="B104" s="95"/>
      <c r="C104" s="95"/>
      <c r="D104" s="95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>
      <c r="A105" s="95"/>
      <c r="B105" s="95"/>
      <c r="C105" s="95"/>
      <c r="D105" s="95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>
      <c r="A106" s="95"/>
      <c r="B106" s="95"/>
      <c r="C106" s="95"/>
      <c r="D106" s="95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>
      <c r="A107" s="95"/>
      <c r="B107" s="95"/>
      <c r="C107" s="95"/>
      <c r="D107" s="95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>
      <c r="A108" s="95"/>
      <c r="B108" s="95"/>
      <c r="C108" s="95"/>
      <c r="D108" s="95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>
      <c r="A109" s="95"/>
      <c r="B109" s="95"/>
      <c r="C109" s="95"/>
      <c r="D109" s="95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>
      <c r="A110" s="95"/>
      <c r="B110" s="95"/>
      <c r="C110" s="95"/>
      <c r="D110" s="95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>
      <c r="A111" s="95"/>
      <c r="B111" s="95"/>
      <c r="C111" s="95"/>
      <c r="D111" s="95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>
      <c r="A112" s="95"/>
      <c r="B112" s="95"/>
      <c r="C112" s="95"/>
      <c r="D112" s="95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>
      <c r="A113" s="95"/>
      <c r="B113" s="95"/>
      <c r="C113" s="95"/>
      <c r="D113" s="95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>
      <c r="A114" s="95"/>
      <c r="B114" s="95"/>
      <c r="C114" s="95"/>
      <c r="D114" s="95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>
      <c r="A115" s="95"/>
      <c r="B115" s="95"/>
      <c r="C115" s="95"/>
      <c r="D115" s="95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>
      <c r="A116" s="95"/>
      <c r="B116" s="95"/>
      <c r="C116" s="95"/>
      <c r="D116" s="95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>
      <c r="A117" s="95"/>
      <c r="B117" s="95"/>
      <c r="C117" s="95"/>
      <c r="D117" s="95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>
      <c r="A118" s="95"/>
      <c r="B118" s="95"/>
      <c r="C118" s="95"/>
      <c r="D118" s="95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>
      <c r="A119" s="95"/>
      <c r="B119" s="95"/>
      <c r="C119" s="95"/>
      <c r="D119" s="95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>
      <c r="A120" s="95"/>
      <c r="B120" s="95"/>
      <c r="C120" s="95"/>
      <c r="D120" s="95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>
      <c r="A121" s="95"/>
      <c r="B121" s="95"/>
      <c r="C121" s="95"/>
      <c r="D121" s="95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>
      <c r="A122" s="95"/>
      <c r="B122" s="95"/>
      <c r="C122" s="95"/>
      <c r="D122" s="95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>
      <c r="A123" s="95"/>
      <c r="B123" s="95"/>
      <c r="C123" s="95"/>
      <c r="D123" s="95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>
      <c r="A124" s="95"/>
      <c r="B124" s="95"/>
      <c r="C124" s="95"/>
      <c r="D124" s="95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>
      <c r="A125" s="95"/>
      <c r="B125" s="95"/>
      <c r="C125" s="95"/>
      <c r="D125" s="95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>
      <c r="A126" s="95"/>
      <c r="B126" s="95"/>
      <c r="C126" s="95"/>
      <c r="D126" s="95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>
      <c r="A127" s="95"/>
      <c r="B127" s="95"/>
      <c r="C127" s="95"/>
      <c r="D127" s="95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>
      <c r="A128" s="95"/>
      <c r="B128" s="95"/>
      <c r="C128" s="95"/>
      <c r="D128" s="95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>
      <c r="A129" s="95"/>
      <c r="B129" s="95"/>
      <c r="C129" s="95"/>
      <c r="D129" s="95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>
      <c r="A130" s="95"/>
      <c r="B130" s="95"/>
      <c r="C130" s="95"/>
      <c r="D130" s="95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>
      <c r="A131" s="95"/>
      <c r="B131" s="95"/>
      <c r="C131" s="95"/>
      <c r="D131" s="95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>
      <c r="A132" s="95"/>
      <c r="B132" s="95"/>
      <c r="C132" s="95"/>
      <c r="D132" s="95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>
      <c r="A133" s="95"/>
      <c r="B133" s="95"/>
      <c r="C133" s="95"/>
      <c r="D133" s="95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</sheetData>
  <mergeCells count="1">
    <mergeCell ref="A1:D1"/>
  </mergeCells>
  <phoneticPr fontId="3" type="noConversion"/>
  <pageMargins left="0.75" right="0.75" top="0.51" bottom="0.5" header="0.5" footer="0.5"/>
  <pageSetup paperSize="9" orientation="landscape" horizontalDpi="300" verticalDpi="300" r:id="rId1"/>
  <headerFooter alignWithMargins="0"/>
  <rowBreaks count="1" manualBreakCount="1">
    <brk id="32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AE346"/>
  <sheetViews>
    <sheetView showGridLines="0" topLeftCell="A60" zoomScaleNormal="100" workbookViewId="0">
      <selection activeCell="K76" sqref="K76"/>
    </sheetView>
  </sheetViews>
  <sheetFormatPr defaultRowHeight="15"/>
  <cols>
    <col min="1" max="1" width="22.85546875" customWidth="1"/>
    <col min="2" max="2" width="29.42578125" style="98" bestFit="1" customWidth="1"/>
    <col min="3" max="3" width="13.5703125" style="112" bestFit="1" customWidth="1"/>
    <col min="4" max="5" width="13.140625" style="60" bestFit="1" customWidth="1"/>
    <col min="6" max="6" width="12.7109375" style="60" bestFit="1" customWidth="1"/>
    <col min="7" max="7" width="10.7109375" style="60" bestFit="1" customWidth="1"/>
    <col min="8" max="8" width="12.42578125" style="60" bestFit="1" customWidth="1"/>
    <col min="9" max="9" width="16.5703125" style="60" bestFit="1" customWidth="1"/>
    <col min="10" max="10" width="11.28515625" style="60" bestFit="1" customWidth="1"/>
    <col min="11" max="11" width="9.5703125" style="60" bestFit="1" customWidth="1"/>
    <col min="12" max="12" width="13.85546875" style="60" bestFit="1" customWidth="1"/>
    <col min="13" max="13" width="11.7109375" style="112" bestFit="1" customWidth="1"/>
    <col min="14" max="14" width="11.7109375" style="112" customWidth="1"/>
    <col min="15" max="15" width="9.140625" style="17" hidden="1" customWidth="1"/>
    <col min="16" max="16" width="9.140625" hidden="1" customWidth="1"/>
    <col min="17" max="31" width="9.140625" style="9" customWidth="1"/>
  </cols>
  <sheetData>
    <row r="1" spans="1:16" ht="12.75">
      <c r="A1" s="143" t="s">
        <v>19</v>
      </c>
      <c r="B1" s="144"/>
      <c r="C1" s="99" t="str">
        <f>A7</f>
        <v>SP8 Siedlce</v>
      </c>
      <c r="D1" s="99" t="str">
        <f>A14</f>
        <v>PSP24 Radom</v>
      </c>
      <c r="E1" s="99" t="str">
        <f>A21</f>
        <v>SP4 Pruszków</v>
      </c>
      <c r="F1" s="99" t="str">
        <f>A28</f>
        <v>SP2 Szydłowiec</v>
      </c>
      <c r="G1" s="99" t="str">
        <f>A35</f>
        <v>SP9 Siedlce</v>
      </c>
      <c r="H1" s="99" t="str">
        <f>A42</f>
        <v>SP1 Ostrów Maz</v>
      </c>
      <c r="I1" s="99" t="str">
        <f>A49</f>
        <v>SP204 Warszawa</v>
      </c>
      <c r="J1" s="99" t="str">
        <f>A56</f>
        <v>SP Zielonki Parcela</v>
      </c>
      <c r="K1" s="99" t="str">
        <f>A63</f>
        <v>SP154 Warszawa</v>
      </c>
      <c r="L1" s="99" t="str">
        <f>A70</f>
        <v xml:space="preserve">SP Jednorożec </v>
      </c>
      <c r="M1" s="99" t="str">
        <f>A77</f>
        <v>SP2 Zielonka</v>
      </c>
      <c r="N1" s="99" t="str">
        <f>A84</f>
        <v>SP2 Mława</v>
      </c>
      <c r="O1" s="14"/>
      <c r="P1" s="9"/>
    </row>
    <row r="2" spans="1:16" ht="12.75">
      <c r="A2" s="144"/>
      <c r="B2" s="144"/>
      <c r="C2" s="99" t="str">
        <f>A91</f>
        <v>SP18 Płock</v>
      </c>
      <c r="D2" s="99">
        <f>A98</f>
        <v>0</v>
      </c>
      <c r="E2" s="99">
        <f>A105</f>
        <v>0</v>
      </c>
      <c r="F2" s="99">
        <f>A112</f>
        <v>0</v>
      </c>
      <c r="G2" s="99">
        <f>A119</f>
        <v>0</v>
      </c>
      <c r="H2" s="99">
        <f>A126</f>
        <v>0</v>
      </c>
      <c r="I2" s="99">
        <f>A133</f>
        <v>0</v>
      </c>
      <c r="J2" s="99">
        <f>A140</f>
        <v>0</v>
      </c>
      <c r="K2" s="99">
        <f>A147</f>
        <v>0</v>
      </c>
      <c r="L2" s="99">
        <f>A154</f>
        <v>0</v>
      </c>
      <c r="M2" s="99">
        <f>A161</f>
        <v>0</v>
      </c>
      <c r="N2" s="99">
        <f>A168</f>
        <v>0</v>
      </c>
      <c r="O2" s="14"/>
      <c r="P2" s="9"/>
    </row>
    <row r="3" spans="1:16" ht="12.75">
      <c r="A3" s="144"/>
      <c r="B3" s="144"/>
      <c r="C3" s="99">
        <f>A175</f>
        <v>0</v>
      </c>
      <c r="D3" s="99">
        <f>A182</f>
        <v>0</v>
      </c>
      <c r="E3" s="99">
        <f>A189</f>
        <v>0</v>
      </c>
      <c r="F3" s="99">
        <f>A196</f>
        <v>0</v>
      </c>
      <c r="G3" s="99">
        <f>A203</f>
        <v>0</v>
      </c>
      <c r="H3" s="99">
        <f>A210</f>
        <v>0</v>
      </c>
      <c r="I3" s="99">
        <f>A217</f>
        <v>0</v>
      </c>
      <c r="J3" s="99">
        <f>A224</f>
        <v>0</v>
      </c>
      <c r="K3" s="99">
        <f>A231</f>
        <v>0</v>
      </c>
      <c r="L3" s="99">
        <f>A238</f>
        <v>0</v>
      </c>
      <c r="M3" s="99">
        <f>A245</f>
        <v>0</v>
      </c>
      <c r="N3" s="99">
        <f>A252</f>
        <v>0</v>
      </c>
      <c r="O3" s="14"/>
      <c r="P3" s="9"/>
    </row>
    <row r="4" spans="1:16" ht="12.75">
      <c r="A4" s="144"/>
      <c r="B4" s="144"/>
      <c r="C4" s="99">
        <f>A259</f>
        <v>0</v>
      </c>
      <c r="D4" s="99">
        <f>A266</f>
        <v>0</v>
      </c>
      <c r="E4" s="99">
        <f>A273</f>
        <v>0</v>
      </c>
      <c r="F4" s="99">
        <f>A280</f>
        <v>0</v>
      </c>
      <c r="G4" s="100"/>
      <c r="H4" s="99"/>
      <c r="I4" s="100"/>
      <c r="J4" s="99"/>
      <c r="K4" s="100"/>
      <c r="L4" s="99"/>
      <c r="M4" s="100"/>
      <c r="N4" s="100"/>
      <c r="O4" s="14"/>
      <c r="P4" s="9"/>
    </row>
    <row r="5" spans="1:16" ht="12.75">
      <c r="A5" s="144"/>
      <c r="B5" s="144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4"/>
      <c r="P5" s="9"/>
    </row>
    <row r="6" spans="1:16" ht="15.75" thickBot="1">
      <c r="A6" s="144"/>
      <c r="B6" s="144"/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1"/>
      <c r="N6" s="101"/>
      <c r="O6" s="14"/>
      <c r="P6" s="9"/>
    </row>
    <row r="7" spans="1:16" ht="16.5" thickTop="1" thickBot="1">
      <c r="A7" s="13" t="str">
        <f>szkoły!A2</f>
        <v>SP8 Siedlce</v>
      </c>
      <c r="B7" s="113" t="s">
        <v>6</v>
      </c>
      <c r="C7" s="25" t="s">
        <v>3</v>
      </c>
      <c r="D7" s="27" t="s">
        <v>7</v>
      </c>
      <c r="E7" s="28" t="s">
        <v>8</v>
      </c>
      <c r="F7" s="27" t="s">
        <v>7</v>
      </c>
      <c r="G7" s="27" t="s">
        <v>5</v>
      </c>
      <c r="H7" s="27" t="s">
        <v>7</v>
      </c>
      <c r="I7" s="27" t="s">
        <v>0</v>
      </c>
      <c r="J7" s="27" t="s">
        <v>7</v>
      </c>
      <c r="K7" s="29" t="s">
        <v>2</v>
      </c>
      <c r="L7" s="27" t="s">
        <v>7</v>
      </c>
      <c r="M7" s="26" t="s">
        <v>9</v>
      </c>
      <c r="N7" s="26" t="s">
        <v>10</v>
      </c>
      <c r="O7" s="14"/>
      <c r="P7" s="9"/>
    </row>
    <row r="8" spans="1:16" ht="18" thickTop="1" thickBot="1">
      <c r="A8" s="7"/>
      <c r="B8" s="114" t="str">
        <f>szkoły!A3</f>
        <v>Dąbrowski Mateusz</v>
      </c>
      <c r="C8" s="103">
        <v>9.1300000000000008</v>
      </c>
      <c r="D8" s="104">
        <f>IF(C8&gt;="",0,IF(C8&gt;=11.61,0,IF(C8&lt;6.91,(200+(6.91-C8)*100),VLOOKUP(-C8,baza!$E:$F,2,1))))</f>
        <v>50</v>
      </c>
      <c r="E8" s="103">
        <v>36</v>
      </c>
      <c r="F8" s="104">
        <f>IF(E8&lt;18,0,IF(E8&gt;104,(200+(E8-104)*4),VLOOKUP(E8,baza!$C$3:$F$202,4,1)))</f>
        <v>37</v>
      </c>
      <c r="G8" s="105"/>
      <c r="H8" s="104">
        <f>IF(G8&lt;baza!$I$202,0,IF(G8&gt;baza!$I$3,(200+(G8-206)*2),VLOOKUP(G8,baza!$I:$J,2,0)))</f>
        <v>0</v>
      </c>
      <c r="I8" s="105">
        <v>417</v>
      </c>
      <c r="J8" s="104">
        <f>IF(I8&lt;210,0,IF(I8&gt;712,(200+I8-712),VLOOKUP(I8,baza!$B$3:$F$202,5,1)))</f>
        <v>46</v>
      </c>
      <c r="K8" s="106">
        <v>337.82</v>
      </c>
      <c r="L8" s="104">
        <f>IF(K8="",0,IF(K8&gt;(-1*baza!$D$3),0,IF(K8&lt;232.3,INT(200+(232.3-K8)*3),VLOOKUP(-K8,baza!$D$1:$F$203,3,1))))</f>
        <v>46</v>
      </c>
      <c r="M8" s="107">
        <f t="shared" ref="M8:M13" si="0">(D8+F8+H8+J8)</f>
        <v>133</v>
      </c>
      <c r="N8" s="108">
        <f t="shared" ref="N8:N13" si="1">M8+L8</f>
        <v>179</v>
      </c>
      <c r="O8" s="14"/>
      <c r="P8" s="9"/>
    </row>
    <row r="9" spans="1:16" ht="18" thickTop="1" thickBot="1">
      <c r="A9" s="30" t="str">
        <f>O12 &amp;"  " &amp;"I dzień"</f>
        <v>892  I dzień</v>
      </c>
      <c r="B9" s="114" t="str">
        <f>szkoły!A4</f>
        <v>Iliński Aleksander</v>
      </c>
      <c r="C9" s="103">
        <v>9.25</v>
      </c>
      <c r="D9" s="104">
        <f>IF(C9&gt;="",0,IF(C9&gt;=11.61,0,IF(C9&lt;6.91,(200+(6.91-C9)*100),VLOOKUP(-C9,baza!$E:$F,2,1))))</f>
        <v>46</v>
      </c>
      <c r="E9" s="103">
        <v>42</v>
      </c>
      <c r="F9" s="104">
        <f>IF(E9&lt;18,0,IF(E9&gt;104,(200+(E9-104)*4),VLOOKUP(E9,baza!$C$3:$F$202,4,1)))</f>
        <v>49</v>
      </c>
      <c r="G9" s="105"/>
      <c r="H9" s="104">
        <f>IF(G9&lt;baza!$I$202,0,IF(G9&gt;baza!$I$3,(200+(G9-206)*2),VLOOKUP(G9,baza!$I:$J,2,0)))</f>
        <v>0</v>
      </c>
      <c r="I9" s="105">
        <v>457</v>
      </c>
      <c r="J9" s="104">
        <f>IF(I9&lt;210,0,IF(I9&gt;712,(200+I9-712),VLOOKUP(I9,baza!$B$3:$F$202,5,1)))</f>
        <v>60</v>
      </c>
      <c r="K9" s="106">
        <v>340.68</v>
      </c>
      <c r="L9" s="104">
        <f>IF(K9="",0,IF(K9&gt;(-1*baza!$D$3),0,IF(K9&lt;232.3,INT(200+(232.3-K9)*3),VLOOKUP(-K9,baza!$D$1:$F$203,3,1))))</f>
        <v>43</v>
      </c>
      <c r="M9" s="107">
        <f t="shared" si="0"/>
        <v>155</v>
      </c>
      <c r="N9" s="108">
        <f t="shared" si="1"/>
        <v>198</v>
      </c>
      <c r="O9" s="14"/>
      <c r="P9" s="9"/>
    </row>
    <row r="10" spans="1:16" ht="18" thickTop="1" thickBot="1">
      <c r="A10" s="30" t="str">
        <f>O13 &amp;"  " &amp;"II dzień"</f>
        <v>1016  II dzień</v>
      </c>
      <c r="B10" s="114" t="str">
        <f>szkoły!A5</f>
        <v>Ługowski Bartosz</v>
      </c>
      <c r="C10" s="103">
        <v>9.2899999999999991</v>
      </c>
      <c r="D10" s="104">
        <f>IF(C10&gt;="",0,IF(C10&gt;=11.61,0,IF(C10&lt;6.91,(200+(6.91-C10)*100),VLOOKUP(-C10,baza!$E:$F,2,1))))</f>
        <v>45</v>
      </c>
      <c r="E10" s="103">
        <v>53.5</v>
      </c>
      <c r="F10" s="104">
        <f>IF(E10&lt;18,0,IF(E10&gt;104,(200+(E10-104)*4),VLOOKUP(E10,baza!$C$3:$F$202,4,1)))</f>
        <v>72</v>
      </c>
      <c r="G10" s="105"/>
      <c r="H10" s="104">
        <f>IF(G10&lt;baza!$I$202,0,IF(G10&gt;baza!$I$3,(200+(G10-206)*2),VLOOKUP(G10,baza!$I:$J,2,0)))</f>
        <v>0</v>
      </c>
      <c r="I10" s="105">
        <v>420</v>
      </c>
      <c r="J10" s="104">
        <f>IF(I10&lt;210,0,IF(I10&gt;712,(200+I10-712),VLOOKUP(I10,baza!$B$3:$F$202,5,1)))</f>
        <v>47</v>
      </c>
      <c r="K10" s="106">
        <v>343.46</v>
      </c>
      <c r="L10" s="104">
        <f>IF(K10="",0,IF(K10&gt;(-1*baza!$D$3),0,IF(K10&lt;232.3,INT(200+(232.3-K10)*3),VLOOKUP(-K10,baza!$D$1:$F$203,3,1))))</f>
        <v>40</v>
      </c>
      <c r="M10" s="107">
        <f t="shared" si="0"/>
        <v>164</v>
      </c>
      <c r="N10" s="108">
        <f t="shared" si="1"/>
        <v>204</v>
      </c>
      <c r="O10" s="14"/>
      <c r="P10" s="9"/>
    </row>
    <row r="11" spans="1:16" ht="18" thickTop="1" thickBot="1">
      <c r="A11" s="7"/>
      <c r="B11" s="114" t="str">
        <f>szkoły!A6</f>
        <v>Redes Maciej</v>
      </c>
      <c r="C11" s="103">
        <v>9.69</v>
      </c>
      <c r="D11" s="104">
        <f>IF(C11&gt;="",0,IF(C11&gt;=11.61,0,IF(C11&lt;6.91,(200+(6.91-C11)*100),VLOOKUP(-C11,baza!$E:$F,2,1))))</f>
        <v>34</v>
      </c>
      <c r="E11" s="103">
        <v>31</v>
      </c>
      <c r="F11" s="104">
        <f>IF(E11&lt;18,0,IF(E11&gt;104,(200+(E11-104)*4),VLOOKUP(E11,baza!$C$3:$F$202,4,1)))</f>
        <v>27</v>
      </c>
      <c r="G11" s="105"/>
      <c r="H11" s="104">
        <f>IF(G11&lt;baza!$I$202,0,IF(G11&gt;baza!$I$3,(200+(G11-206)*2),VLOOKUP(G11,baza!$I:$J,2,0)))</f>
        <v>0</v>
      </c>
      <c r="I11" s="105">
        <v>417</v>
      </c>
      <c r="J11" s="104">
        <f>IF(I11&lt;210,0,IF(I11&gt;712,(200+I11-712),VLOOKUP(I11,baza!$B$3:$F$202,5,1)))</f>
        <v>46</v>
      </c>
      <c r="K11" s="106">
        <v>335.84</v>
      </c>
      <c r="L11" s="104">
        <f>IF(K11="",0,IF(K11&gt;(-1*baza!$D$3),0,IF(K11&lt;232.3,INT(200+(232.3-K11)*3),VLOOKUP(-K11,baza!$D$1:$F$203,3,1))))</f>
        <v>48</v>
      </c>
      <c r="M11" s="107">
        <f t="shared" si="0"/>
        <v>107</v>
      </c>
      <c r="N11" s="108">
        <f t="shared" si="1"/>
        <v>155</v>
      </c>
      <c r="O11" s="14"/>
      <c r="P11" s="9"/>
    </row>
    <row r="12" spans="1:16" ht="18" thickTop="1" thickBot="1">
      <c r="A12" s="7"/>
      <c r="B12" s="114" t="str">
        <f>szkoły!A7</f>
        <v>Świder Tymoteusz</v>
      </c>
      <c r="C12" s="103">
        <v>8.48</v>
      </c>
      <c r="D12" s="104">
        <f>IF(C12&gt;="",0,IF(C12&gt;=11.61,0,IF(C12&lt;6.91,(200+(6.91-C12)*100),VLOOKUP(-C12,baza!$E:$F,2,1))))</f>
        <v>72</v>
      </c>
      <c r="E12" s="103">
        <v>40</v>
      </c>
      <c r="F12" s="104">
        <f>IF(E12&lt;18,0,IF(E12&gt;104,(200+(E12-104)*4),VLOOKUP(E12,baza!$C$3:$F$202,4,1)))</f>
        <v>45</v>
      </c>
      <c r="G12" s="105"/>
      <c r="H12" s="104">
        <f>IF(G12&lt;baza!$I$202,0,IF(G12&gt;baza!$I$3,(200+(G12-206)*2),VLOOKUP(G12,baza!$I:$J,2,0)))</f>
        <v>0</v>
      </c>
      <c r="I12" s="105">
        <v>560</v>
      </c>
      <c r="J12" s="104">
        <f>IF(I12&lt;210,0,IF(I12&gt;712,(200+I12-712),VLOOKUP(I12,baza!$B$3:$F$202,5,1)))</f>
        <v>100</v>
      </c>
      <c r="K12" s="106">
        <v>323.33</v>
      </c>
      <c r="L12" s="104">
        <f>IF(K12="",0,IF(K12&gt;(-1*baza!$D$3),0,IF(K12&lt;232.3,INT(200+(232.3-K12)*3),VLOOKUP(-K12,baza!$D$1:$F$203,3,1))))</f>
        <v>63</v>
      </c>
      <c r="M12" s="107">
        <f t="shared" si="0"/>
        <v>217</v>
      </c>
      <c r="N12" s="108">
        <f t="shared" si="1"/>
        <v>280</v>
      </c>
      <c r="O12" s="15">
        <f>SUM(M8:M13)</f>
        <v>892</v>
      </c>
      <c r="P12" s="8" t="s">
        <v>9</v>
      </c>
    </row>
    <row r="13" spans="1:16" ht="18" thickTop="1" thickBot="1">
      <c r="A13" s="7"/>
      <c r="B13" s="114" t="str">
        <f>szkoły!A8</f>
        <v>Nitychoruk Maciej</v>
      </c>
      <c r="C13" s="103">
        <v>9.81</v>
      </c>
      <c r="D13" s="104">
        <f>IF(C13&gt;="",0,IF(C13&gt;=11.61,0,IF(C13&lt;6.91,(200+(6.91-C13)*100),VLOOKUP(-C13,baza!$E:$F,2,1))))</f>
        <v>31</v>
      </c>
      <c r="E13" s="103">
        <v>41.5</v>
      </c>
      <c r="F13" s="104">
        <f>IF(E13&lt;18,0,IF(E13&gt;104,(200+(E13-104)*4),VLOOKUP(E13,baza!$C$3:$F$202,4,1)))</f>
        <v>48</v>
      </c>
      <c r="G13" s="105"/>
      <c r="H13" s="104">
        <f>IF(G13&lt;baza!$I$202,0,IF(G13&gt;baza!$I$3,(200+(G13-206)*2),VLOOKUP(G13,baza!$I:$J,2,0)))</f>
        <v>0</v>
      </c>
      <c r="I13" s="105">
        <v>388</v>
      </c>
      <c r="J13" s="104">
        <f>IF(I13&lt;210,0,IF(I13&gt;712,(200+I13-712),VLOOKUP(I13,baza!$B$3:$F$202,5,1)))</f>
        <v>37</v>
      </c>
      <c r="K13" s="106">
        <v>355.41</v>
      </c>
      <c r="L13" s="104">
        <f>IF(K13="",0,IF(K13&gt;(-1*baza!$D$3),0,IF(K13&lt;232.3,INT(200+(232.3-K13)*3),VLOOKUP(-K13,baza!$D$1:$F$203,3,1))))</f>
        <v>29</v>
      </c>
      <c r="M13" s="107">
        <f t="shared" si="0"/>
        <v>116</v>
      </c>
      <c r="N13" s="108">
        <f t="shared" si="1"/>
        <v>145</v>
      </c>
      <c r="O13" s="15">
        <f>IF(COUNT(N8:N13)&lt;6,SUM(N8:N13),SUM(N8:N13)-MIN(N8:N13))</f>
        <v>1016</v>
      </c>
      <c r="P13" s="8" t="s">
        <v>11</v>
      </c>
    </row>
    <row r="14" spans="1:16" ht="16.5" thickTop="1" thickBot="1">
      <c r="A14" s="13" t="str">
        <f>szkoły!B2</f>
        <v>PSP24 Radom</v>
      </c>
      <c r="B14" s="113" t="s">
        <v>6</v>
      </c>
      <c r="C14" s="25" t="s">
        <v>3</v>
      </c>
      <c r="D14" s="27" t="s">
        <v>7</v>
      </c>
      <c r="E14" s="28" t="s">
        <v>8</v>
      </c>
      <c r="F14" s="27" t="s">
        <v>7</v>
      </c>
      <c r="G14" s="27" t="s">
        <v>5</v>
      </c>
      <c r="H14" s="27" t="s">
        <v>7</v>
      </c>
      <c r="I14" s="27" t="s">
        <v>0</v>
      </c>
      <c r="J14" s="27" t="s">
        <v>7</v>
      </c>
      <c r="K14" s="29" t="s">
        <v>2</v>
      </c>
      <c r="L14" s="27" t="s">
        <v>7</v>
      </c>
      <c r="M14" s="26" t="s">
        <v>9</v>
      </c>
      <c r="N14" s="26" t="s">
        <v>10</v>
      </c>
      <c r="O14" s="14"/>
      <c r="P14" s="9"/>
    </row>
    <row r="15" spans="1:16" ht="18" thickTop="1" thickBot="1">
      <c r="A15" s="10"/>
      <c r="B15" s="114" t="str">
        <f>szkoły!B3</f>
        <v>Kołacz Nikodem</v>
      </c>
      <c r="C15" s="103">
        <v>9.19</v>
      </c>
      <c r="D15" s="104">
        <f>IF(C15&gt;="",0,IF(C15&gt;=11.61,0,IF(C15&lt;6.91,(200+(6.91-C15)*100),VLOOKUP(-C15,baza!$E:$F,2,1))))</f>
        <v>48</v>
      </c>
      <c r="E15" s="103">
        <v>49.5</v>
      </c>
      <c r="F15" s="104">
        <f>IF(E15&lt;18,0,IF(E15&gt;104,(200+(E15-104)*4),VLOOKUP(E15,baza!$C$3:$F$202,4,1)))</f>
        <v>64</v>
      </c>
      <c r="G15" s="105"/>
      <c r="H15" s="104">
        <f>IF(G15&lt;baza!$I$202,0,IF(G15&gt;baza!$I$3,(200+(G15-206)*2),VLOOKUP(G15,baza!$I:$J,2,0)))</f>
        <v>0</v>
      </c>
      <c r="I15" s="105">
        <v>361</v>
      </c>
      <c r="J15" s="104">
        <f>IF(I15&lt;210,0,IF(I15&gt;712,(200+I15-712),VLOOKUP(I15,baza!$B$3:$F$202,5,1)))</f>
        <v>25</v>
      </c>
      <c r="K15" s="106"/>
      <c r="L15" s="104">
        <f>IF(K15="",0,IF(K15&gt;(-1*baza!$D$3),0,IF(K15&lt;232.3,INT(200+(232.3-K15)*3),VLOOKUP(-K15,baza!$D$1:$F$203,3,1))))</f>
        <v>0</v>
      </c>
      <c r="M15" s="107">
        <f t="shared" ref="M15:M20" si="2">(D15+F15+H15+J15)</f>
        <v>137</v>
      </c>
      <c r="N15" s="108">
        <f t="shared" ref="N15:N20" si="3">M15+L15</f>
        <v>137</v>
      </c>
      <c r="O15" s="14"/>
      <c r="P15" s="9"/>
    </row>
    <row r="16" spans="1:16" ht="18" thickTop="1" thickBot="1">
      <c r="A16" s="30" t="str">
        <f>O19 &amp;"  " &amp;"I dzień"</f>
        <v>686  I dzień</v>
      </c>
      <c r="B16" s="114" t="str">
        <f>szkoły!B4</f>
        <v>Komar Wojciech</v>
      </c>
      <c r="C16" s="103">
        <v>9.0299999999999994</v>
      </c>
      <c r="D16" s="104">
        <f>IF(C16&gt;="",0,IF(C16&gt;=11.61,0,IF(C16&lt;6.91,(200+(6.91-C16)*100),VLOOKUP(-C16,baza!$E:$F,2,1))))</f>
        <v>53</v>
      </c>
      <c r="E16" s="103">
        <v>37</v>
      </c>
      <c r="F16" s="104">
        <f>IF(E16&lt;18,0,IF(E16&gt;104,(200+(E16-104)*4),VLOOKUP(E16,baza!$C$3:$F$202,4,1)))</f>
        <v>39</v>
      </c>
      <c r="G16" s="105"/>
      <c r="H16" s="104">
        <f>IF(G16&lt;baza!$I$202,0,IF(G16&gt;baza!$I$3,(200+(G16-206)*2),VLOOKUP(G16,baza!$I:$J,2,0)))</f>
        <v>0</v>
      </c>
      <c r="I16" s="105">
        <v>447</v>
      </c>
      <c r="J16" s="104">
        <f>IF(I16&lt;210,0,IF(I16&gt;712,(200+I16-712),VLOOKUP(I16,baza!$B$3:$F$202,5,1)))</f>
        <v>56</v>
      </c>
      <c r="K16" s="106">
        <v>347.31</v>
      </c>
      <c r="L16" s="104">
        <f>IF(K16="",0,IF(K16&gt;(-1*baza!$D$3),0,IF(K16&lt;232.3,INT(200+(232.3-K16)*3),VLOOKUP(-K16,baza!$D$1:$F$203,3,1))))</f>
        <v>36</v>
      </c>
      <c r="M16" s="107">
        <f t="shared" si="2"/>
        <v>148</v>
      </c>
      <c r="N16" s="108">
        <f t="shared" si="3"/>
        <v>184</v>
      </c>
      <c r="O16" s="14"/>
      <c r="P16" s="9"/>
    </row>
    <row r="17" spans="1:16" ht="18" thickTop="1" thickBot="1">
      <c r="A17" s="30" t="str">
        <f>O20 &amp;"  " &amp;"II dzień"</f>
        <v>812  II dzień</v>
      </c>
      <c r="B17" s="114" t="str">
        <f>szkoły!B5</f>
        <v>Markwat Natan</v>
      </c>
      <c r="C17" s="103">
        <v>9.0500000000000007</v>
      </c>
      <c r="D17" s="104">
        <f>IF(C17&gt;="",0,IF(C17&gt;=11.61,0,IF(C17&lt;6.91,(200+(6.91-C17)*100),VLOOKUP(-C17,baza!$E:$F,2,1))))</f>
        <v>53</v>
      </c>
      <c r="E17" s="103">
        <v>43</v>
      </c>
      <c r="F17" s="104">
        <f>IF(E17&lt;18,0,IF(E17&gt;104,(200+(E17-104)*4),VLOOKUP(E17,baza!$C$3:$F$202,4,1)))</f>
        <v>51</v>
      </c>
      <c r="G17" s="105"/>
      <c r="H17" s="104">
        <f>IF(G17&lt;baza!$I$202,0,IF(G17&gt;baza!$I$3,(200+(G17-206)*2),VLOOKUP(G17,baza!$I:$J,2,0)))</f>
        <v>0</v>
      </c>
      <c r="I17" s="105">
        <v>382</v>
      </c>
      <c r="J17" s="104">
        <f>IF(I17&lt;210,0,IF(I17&gt;712,(200+I17-712),VLOOKUP(I17,baza!$B$3:$F$202,5,1)))</f>
        <v>35</v>
      </c>
      <c r="K17" s="106"/>
      <c r="L17" s="104">
        <f>IF(K17="",0,IF(K17&gt;(-1*baza!$D$3),0,IF(K17&lt;232.3,INT(200+(232.3-K17)*3),VLOOKUP(-K17,baza!$D$1:$F$203,3,1))))</f>
        <v>0</v>
      </c>
      <c r="M17" s="107">
        <f t="shared" si="2"/>
        <v>139</v>
      </c>
      <c r="N17" s="108">
        <f t="shared" si="3"/>
        <v>139</v>
      </c>
      <c r="O17" s="14"/>
      <c r="P17" s="9"/>
    </row>
    <row r="18" spans="1:16" ht="18" thickTop="1" thickBot="1">
      <c r="A18" s="10"/>
      <c r="B18" s="114" t="str">
        <f>szkoły!B6</f>
        <v>Nowak Aleksander</v>
      </c>
      <c r="C18" s="103">
        <v>9.4</v>
      </c>
      <c r="D18" s="104">
        <f>IF(C18&gt;="",0,IF(C18&gt;=11.61,0,IF(C18&lt;6.91,(200+(6.91-C18)*100),VLOOKUP(-C18,baza!$E:$F,2,1))))</f>
        <v>42</v>
      </c>
      <c r="E18" s="103">
        <v>36</v>
      </c>
      <c r="F18" s="104">
        <f>IF(E18&lt;18,0,IF(E18&gt;104,(200+(E18-104)*4),VLOOKUP(E18,baza!$C$3:$F$202,4,1)))</f>
        <v>37</v>
      </c>
      <c r="G18" s="105"/>
      <c r="H18" s="104">
        <f>IF(G18&lt;baza!$I$202,0,IF(G18&gt;baza!$I$3,(200+(G18-206)*2),VLOOKUP(G18,baza!$I:$J,2,0)))</f>
        <v>0</v>
      </c>
      <c r="I18" s="105">
        <v>427</v>
      </c>
      <c r="J18" s="104">
        <f>IF(I18&lt;210,0,IF(I18&gt;712,(200+I18-712),VLOOKUP(I18,baza!$B$3:$F$202,5,1)))</f>
        <v>50</v>
      </c>
      <c r="K18" s="106">
        <v>343.51</v>
      </c>
      <c r="L18" s="104">
        <f>IF(K18="",0,IF(K18&gt;(-1*baza!$D$3),0,IF(K18&lt;232.3,INT(200+(232.3-K18)*3),VLOOKUP(-K18,baza!$D$1:$F$203,3,1))))</f>
        <v>40</v>
      </c>
      <c r="M18" s="107">
        <f t="shared" si="2"/>
        <v>129</v>
      </c>
      <c r="N18" s="108">
        <f t="shared" si="3"/>
        <v>169</v>
      </c>
      <c r="O18" s="14"/>
      <c r="P18" s="9"/>
    </row>
    <row r="19" spans="1:16" ht="18" thickTop="1" thickBot="1">
      <c r="A19" s="10"/>
      <c r="B19" s="114" t="str">
        <f>szkoły!B7</f>
        <v>Trzos Szymon</v>
      </c>
      <c r="C19" s="103">
        <v>9.6300000000000008</v>
      </c>
      <c r="D19" s="104">
        <f>IF(C19&gt;="",0,IF(C19&gt;=11.61,0,IF(C19&lt;6.91,(200+(6.91-C19)*100),VLOOKUP(-C19,baza!$E:$F,2,1))))</f>
        <v>35</v>
      </c>
      <c r="E19" s="103">
        <v>46</v>
      </c>
      <c r="F19" s="104">
        <f>IF(E19&lt;18,0,IF(E19&gt;104,(200+(E19-104)*4),VLOOKUP(E19,baza!$C$3:$F$202,4,1)))</f>
        <v>57</v>
      </c>
      <c r="G19" s="105"/>
      <c r="H19" s="104">
        <f>IF(G19&lt;baza!$I$202,0,IF(G19&gt;baza!$I$3,(200+(G19-206)*2),VLOOKUP(G19,baza!$I:$J,2,0)))</f>
        <v>0</v>
      </c>
      <c r="I19" s="105">
        <v>401</v>
      </c>
      <c r="J19" s="104">
        <f>IF(I19&lt;210,0,IF(I19&gt;712,(200+I19-712),VLOOKUP(I19,baza!$B$3:$F$202,5,1)))</f>
        <v>41</v>
      </c>
      <c r="K19" s="106">
        <v>333.68</v>
      </c>
      <c r="L19" s="104">
        <f>IF(K19="",0,IF(K19&gt;(-1*baza!$D$3),0,IF(K19&lt;232.3,INT(200+(232.3-K19)*3),VLOOKUP(-K19,baza!$D$1:$F$203,3,1))))</f>
        <v>50</v>
      </c>
      <c r="M19" s="107">
        <f t="shared" si="2"/>
        <v>133</v>
      </c>
      <c r="N19" s="108">
        <f t="shared" si="3"/>
        <v>183</v>
      </c>
      <c r="O19" s="15">
        <f>SUM(M15:M20)</f>
        <v>686</v>
      </c>
      <c r="P19" s="8" t="s">
        <v>9</v>
      </c>
    </row>
    <row r="20" spans="1:16" ht="18" thickTop="1" thickBot="1">
      <c r="A20" s="10"/>
      <c r="B20" s="114">
        <f>szkoły!B8</f>
        <v>0</v>
      </c>
      <c r="C20" s="103"/>
      <c r="D20" s="104">
        <f>IF(C20&gt;="",0,IF(C20&gt;=11.61,0,IF(C20&lt;6.91,(200+(6.91-C20)*100),VLOOKUP(-C20,baza!$E:$F,2,1))))</f>
        <v>0</v>
      </c>
      <c r="E20" s="103"/>
      <c r="F20" s="104">
        <f>IF(E20&lt;18,0,IF(E20&gt;104,(200+(E20-104)*4),VLOOKUP(E20,baza!$C$3:$F$202,4,1)))</f>
        <v>0</v>
      </c>
      <c r="G20" s="105"/>
      <c r="H20" s="104">
        <f>IF(G20&lt;baza!$I$202,0,IF(G20&gt;baza!$I$3,(200+(G20-206)*2),VLOOKUP(G20,baza!$I:$J,2,0)))</f>
        <v>0</v>
      </c>
      <c r="I20" s="105"/>
      <c r="J20" s="104">
        <f>IF(I20&lt;210,0,IF(I20&gt;712,(200+I20-712),VLOOKUP(I20,baza!$B$3:$F$202,5,1)))</f>
        <v>0</v>
      </c>
      <c r="K20" s="106"/>
      <c r="L20" s="104">
        <f>IF(K20="",0,IF(K20&gt;(-1*baza!$D$3),0,IF(K20&lt;232.3,INT(200+(232.3-K20)*3),VLOOKUP(-K20,baza!$D$1:$F$203,3,1))))</f>
        <v>0</v>
      </c>
      <c r="M20" s="107">
        <f t="shared" si="2"/>
        <v>0</v>
      </c>
      <c r="N20" s="108">
        <f t="shared" si="3"/>
        <v>0</v>
      </c>
      <c r="O20" s="15">
        <f>IF(COUNT(N15:N20)&lt;6,SUM(N15:N20),SUM(N15:N20)-MIN(N15:N20))</f>
        <v>812</v>
      </c>
      <c r="P20" s="8" t="s">
        <v>11</v>
      </c>
    </row>
    <row r="21" spans="1:16" ht="16.5" thickTop="1" thickBot="1">
      <c r="A21" s="13" t="str">
        <f>szkoły!C2</f>
        <v>SP4 Pruszków</v>
      </c>
      <c r="B21" s="113" t="s">
        <v>6</v>
      </c>
      <c r="C21" s="25" t="s">
        <v>3</v>
      </c>
      <c r="D21" s="27" t="s">
        <v>7</v>
      </c>
      <c r="E21" s="28" t="s">
        <v>8</v>
      </c>
      <c r="F21" s="27" t="s">
        <v>7</v>
      </c>
      <c r="G21" s="27" t="s">
        <v>5</v>
      </c>
      <c r="H21" s="27" t="s">
        <v>7</v>
      </c>
      <c r="I21" s="27" t="s">
        <v>0</v>
      </c>
      <c r="J21" s="27" t="s">
        <v>7</v>
      </c>
      <c r="K21" s="29" t="s">
        <v>2</v>
      </c>
      <c r="L21" s="27" t="s">
        <v>7</v>
      </c>
      <c r="M21" s="26" t="s">
        <v>9</v>
      </c>
      <c r="N21" s="26" t="s">
        <v>10</v>
      </c>
      <c r="O21" s="14"/>
      <c r="P21" s="9"/>
    </row>
    <row r="22" spans="1:16" ht="18" thickTop="1" thickBot="1">
      <c r="A22" s="7"/>
      <c r="B22" s="114" t="str">
        <f>szkoły!C3</f>
        <v>Dąbrowski Aleksander</v>
      </c>
      <c r="C22" s="103">
        <v>9.31</v>
      </c>
      <c r="D22" s="104">
        <f>IF(C22&gt;="",0,IF(C22&gt;=11.61,0,IF(C22&lt;6.91,(200+(6.91-C22)*100),VLOOKUP(-C22,baza!$E:$F,2,1))))</f>
        <v>44</v>
      </c>
      <c r="E22" s="103">
        <v>47</v>
      </c>
      <c r="F22" s="104">
        <f>IF(E22&lt;18,0,IF(E22&gt;104,(200+(E22-104)*4),VLOOKUP(E22,baza!$C$3:$F$202,4,1)))</f>
        <v>59</v>
      </c>
      <c r="G22" s="105"/>
      <c r="H22" s="104">
        <f>IF(G22&lt;baza!$I$202,0,IF(G22&gt;baza!$I$3,(200+(G22-206)*2),VLOOKUP(G22,baza!$I:$J,2,0)))</f>
        <v>0</v>
      </c>
      <c r="I22" s="105">
        <v>422</v>
      </c>
      <c r="J22" s="104">
        <f>IF(I22&lt;210,0,IF(I22&gt;712,(200+I22-712),VLOOKUP(I22,baza!$B$3:$F$202,5,1)))</f>
        <v>48</v>
      </c>
      <c r="K22" s="106">
        <v>333.9</v>
      </c>
      <c r="L22" s="104">
        <f>IF(K22="",0,IF(K22&gt;(-1*baza!$D$3),0,IF(K22&lt;232.3,INT(200+(232.3-K22)*3),VLOOKUP(-K22,baza!$D$1:$F$203,3,1))))</f>
        <v>50</v>
      </c>
      <c r="M22" s="107">
        <f t="shared" ref="M22:M27" si="4">(D22+F22+H22+J22)</f>
        <v>151</v>
      </c>
      <c r="N22" s="108">
        <f t="shared" ref="N22:N27" si="5">M22+L22</f>
        <v>201</v>
      </c>
      <c r="O22" s="14"/>
      <c r="P22" s="9"/>
    </row>
    <row r="23" spans="1:16" ht="18" thickTop="1" thickBot="1">
      <c r="A23" s="30" t="str">
        <f>O26 &amp;"  " &amp;"I dzień"</f>
        <v>996  I dzień</v>
      </c>
      <c r="B23" s="114" t="str">
        <f>szkoły!C4</f>
        <v>Kushchak Kamil</v>
      </c>
      <c r="C23" s="103">
        <v>9.25</v>
      </c>
      <c r="D23" s="104">
        <f>IF(C23&gt;="",0,IF(C23&gt;=11.61,0,IF(C23&lt;6.91,(200+(6.91-C23)*100),VLOOKUP(-C23,baza!$E:$F,2,1))))</f>
        <v>46</v>
      </c>
      <c r="E23" s="103">
        <v>45</v>
      </c>
      <c r="F23" s="104">
        <f>IF(E23&lt;18,0,IF(E23&gt;104,(200+(E23-104)*4),VLOOKUP(E23,baza!$C$3:$F$202,4,1)))</f>
        <v>55</v>
      </c>
      <c r="G23" s="105"/>
      <c r="H23" s="104">
        <f>IF(G23&lt;baza!$I$202,0,IF(G23&gt;baza!$I$3,(200+(G23-206)*2),VLOOKUP(G23,baza!$I:$J,2,0)))</f>
        <v>0</v>
      </c>
      <c r="I23" s="105">
        <v>475</v>
      </c>
      <c r="J23" s="104">
        <f>IF(I23&lt;210,0,IF(I23&gt;712,(200+I23-712),VLOOKUP(I23,baza!$B$3:$F$202,5,1)))</f>
        <v>66</v>
      </c>
      <c r="K23" s="106">
        <v>326.25</v>
      </c>
      <c r="L23" s="104">
        <f>IF(K23="",0,IF(K23&gt;(-1*baza!$D$3),0,IF(K23&lt;232.3,INT(200+(232.3-K23)*3),VLOOKUP(-K23,baza!$D$1:$F$203,3,1))))</f>
        <v>59</v>
      </c>
      <c r="M23" s="107">
        <f t="shared" si="4"/>
        <v>167</v>
      </c>
      <c r="N23" s="108">
        <f t="shared" si="5"/>
        <v>226</v>
      </c>
      <c r="O23" s="14"/>
      <c r="P23" s="9"/>
    </row>
    <row r="24" spans="1:16" ht="18" thickTop="1" thickBot="1">
      <c r="A24" s="30" t="str">
        <f>O27 &amp;"  " &amp;"II dzień"</f>
        <v>1127  II dzień</v>
      </c>
      <c r="B24" s="114" t="str">
        <f>szkoły!C5</f>
        <v>Kwiatkowski Julian</v>
      </c>
      <c r="C24" s="103">
        <v>8.64</v>
      </c>
      <c r="D24" s="104">
        <f>IF(C24&gt;="",0,IF(C24&gt;=11.61,0,IF(C24&lt;6.91,(200+(6.91-C24)*100),VLOOKUP(-C24,baza!$E:$F,2,1))))</f>
        <v>66</v>
      </c>
      <c r="E24" s="103">
        <v>40</v>
      </c>
      <c r="F24" s="104">
        <f>IF(E24&lt;18,0,IF(E24&gt;104,(200+(E24-104)*4),VLOOKUP(E24,baza!$C$3:$F$202,4,1)))</f>
        <v>45</v>
      </c>
      <c r="G24" s="105"/>
      <c r="H24" s="104">
        <f>IF(G24&lt;baza!$I$202,0,IF(G24&gt;baza!$I$3,(200+(G24-206)*2),VLOOKUP(G24,baza!$I:$J,2,0)))</f>
        <v>0</v>
      </c>
      <c r="I24" s="105">
        <v>447</v>
      </c>
      <c r="J24" s="104">
        <f>IF(I24&lt;210,0,IF(I24&gt;712,(200+I24-712),VLOOKUP(I24,baza!$B$3:$F$202,5,1)))</f>
        <v>56</v>
      </c>
      <c r="K24" s="106">
        <v>337.74</v>
      </c>
      <c r="L24" s="104">
        <f>IF(K24="",0,IF(K24&gt;(-1*baza!$D$3),0,IF(K24&lt;232.3,INT(200+(232.3-K24)*3),VLOOKUP(-K24,baza!$D$1:$F$203,3,1))))</f>
        <v>46</v>
      </c>
      <c r="M24" s="107">
        <f t="shared" si="4"/>
        <v>167</v>
      </c>
      <c r="N24" s="108">
        <f t="shared" si="5"/>
        <v>213</v>
      </c>
      <c r="O24" s="14"/>
      <c r="P24" s="9"/>
    </row>
    <row r="25" spans="1:16" ht="18" thickTop="1" thickBot="1">
      <c r="A25" s="7"/>
      <c r="B25" s="114" t="str">
        <f>szkoły!C6</f>
        <v>Lipiński Cyprian</v>
      </c>
      <c r="C25" s="103">
        <v>8.7100000000000009</v>
      </c>
      <c r="D25" s="104">
        <f>IF(C25&gt;="",0,IF(C25&gt;=11.61,0,IF(C25&lt;6.91,(200+(6.91-C25)*100),VLOOKUP(-C25,baza!$E:$F,2,1))))</f>
        <v>64</v>
      </c>
      <c r="E25" s="103">
        <v>44</v>
      </c>
      <c r="F25" s="104">
        <f>IF(E25&lt;18,0,IF(E25&gt;104,(200+(E25-104)*4),VLOOKUP(E25,baza!$C$3:$F$202,4,1)))</f>
        <v>53</v>
      </c>
      <c r="G25" s="105"/>
      <c r="H25" s="104">
        <f>IF(G25&lt;baza!$I$202,0,IF(G25&gt;baza!$I$3,(200+(G25-206)*2),VLOOKUP(G25,baza!$I:$J,2,0)))</f>
        <v>0</v>
      </c>
      <c r="I25" s="105">
        <v>472</v>
      </c>
      <c r="J25" s="104">
        <f>IF(I25&lt;210,0,IF(I25&gt;712,(200+I25-712),VLOOKUP(I25,baza!$B$3:$F$202,5,1)))</f>
        <v>65</v>
      </c>
      <c r="K25" s="106">
        <v>326.44</v>
      </c>
      <c r="L25" s="104">
        <f>IF(K25="",0,IF(K25&gt;(-1*baza!$D$3),0,IF(K25&lt;232.3,INT(200+(232.3-K25)*3),VLOOKUP(-K25,baza!$D$1:$F$203,3,1))))</f>
        <v>59</v>
      </c>
      <c r="M25" s="107">
        <f t="shared" si="4"/>
        <v>182</v>
      </c>
      <c r="N25" s="108">
        <f t="shared" si="5"/>
        <v>241</v>
      </c>
      <c r="O25" s="14"/>
      <c r="P25" s="9"/>
    </row>
    <row r="26" spans="1:16" ht="18" thickTop="1" thickBot="1">
      <c r="A26" s="7"/>
      <c r="B26" s="114" t="str">
        <f>szkoły!C7</f>
        <v>Miron Artur</v>
      </c>
      <c r="C26" s="103">
        <v>8.7100000000000009</v>
      </c>
      <c r="D26" s="104">
        <f>IF(C26&gt;="",0,IF(C26&gt;=11.61,0,IF(C26&lt;6.91,(200+(6.91-C26)*100),VLOOKUP(-C26,baza!$E:$F,2,1))))</f>
        <v>64</v>
      </c>
      <c r="E26" s="103">
        <v>39</v>
      </c>
      <c r="F26" s="104">
        <f>IF(E26&lt;18,0,IF(E26&gt;104,(200+(E26-104)*4),VLOOKUP(E26,baza!$C$3:$F$202,4,1)))</f>
        <v>43</v>
      </c>
      <c r="G26" s="105"/>
      <c r="H26" s="104">
        <f>IF(G26&lt;baza!$I$202,0,IF(G26&gt;baza!$I$3,(200+(G26-206)*2),VLOOKUP(G26,baza!$I:$J,2,0)))</f>
        <v>0</v>
      </c>
      <c r="I26" s="105">
        <v>441</v>
      </c>
      <c r="J26" s="104">
        <f>IF(I26&lt;210,0,IF(I26&gt;712,(200+I26-712),VLOOKUP(I26,baza!$B$3:$F$202,5,1)))</f>
        <v>54</v>
      </c>
      <c r="K26" s="106">
        <v>321.47000000000003</v>
      </c>
      <c r="L26" s="104">
        <f>IF(K26="",0,IF(K26&gt;(-1*baza!$D$3),0,IF(K26&lt;232.3,INT(200+(232.3-K26)*3),VLOOKUP(-K26,baza!$D$1:$F$203,3,1))))</f>
        <v>65</v>
      </c>
      <c r="M26" s="107">
        <f t="shared" si="4"/>
        <v>161</v>
      </c>
      <c r="N26" s="108">
        <f t="shared" si="5"/>
        <v>226</v>
      </c>
      <c r="O26" s="15">
        <f>SUM(M22:M27)</f>
        <v>996</v>
      </c>
      <c r="P26" s="8" t="s">
        <v>9</v>
      </c>
    </row>
    <row r="27" spans="1:16" ht="18" thickTop="1" thickBot="1">
      <c r="A27" s="7"/>
      <c r="B27" s="114" t="str">
        <f>szkoły!C8</f>
        <v>Zień Paweł</v>
      </c>
      <c r="C27" s="103">
        <v>8.9600000000000009</v>
      </c>
      <c r="D27" s="104">
        <f>IF(C27&gt;="",0,IF(C27&gt;=11.61,0,IF(C27&lt;6.91,(200+(6.91-C27)*100),VLOOKUP(-C27,baza!$E:$F,2,1))))</f>
        <v>56</v>
      </c>
      <c r="E27" s="103">
        <v>40.5</v>
      </c>
      <c r="F27" s="104">
        <f>IF(E27&lt;18,0,IF(E27&gt;104,(200+(E27-104)*4),VLOOKUP(E27,baza!$C$3:$F$202,4,1)))</f>
        <v>46</v>
      </c>
      <c r="G27" s="105"/>
      <c r="H27" s="104">
        <f>IF(G27&lt;baza!$I$202,0,IF(G27&gt;baza!$I$3,(200+(G27-206)*2),VLOOKUP(G27,baza!$I:$J,2,0)))</f>
        <v>0</v>
      </c>
      <c r="I27" s="105">
        <v>475</v>
      </c>
      <c r="J27" s="104">
        <f>IF(I27&lt;210,0,IF(I27&gt;712,(200+I27-712),VLOOKUP(I27,baza!$B$3:$F$202,5,1)))</f>
        <v>66</v>
      </c>
      <c r="K27" s="106">
        <v>331.06</v>
      </c>
      <c r="L27" s="104">
        <f>IF(K27="",0,IF(K27&gt;(-1*baza!$D$3),0,IF(K27&lt;232.3,INT(200+(232.3-K27)*3),VLOOKUP(-K27,baza!$D$1:$F$203,3,1))))</f>
        <v>53</v>
      </c>
      <c r="M27" s="107">
        <f t="shared" si="4"/>
        <v>168</v>
      </c>
      <c r="N27" s="108">
        <f t="shared" si="5"/>
        <v>221</v>
      </c>
      <c r="O27" s="15">
        <f>IF(COUNT(N22:N27)&lt;6,SUM(N22:N27),SUM(N22:N27)-MIN(N22:N27))</f>
        <v>1127</v>
      </c>
      <c r="P27" s="8" t="s">
        <v>11</v>
      </c>
    </row>
    <row r="28" spans="1:16" ht="16.5" thickTop="1" thickBot="1">
      <c r="A28" s="13" t="str">
        <f>szkoły!D2</f>
        <v>SP2 Szydłowiec</v>
      </c>
      <c r="B28" s="113" t="s">
        <v>6</v>
      </c>
      <c r="C28" s="25" t="s">
        <v>3</v>
      </c>
      <c r="D28" s="27" t="s">
        <v>7</v>
      </c>
      <c r="E28" s="28" t="s">
        <v>8</v>
      </c>
      <c r="F28" s="27" t="s">
        <v>7</v>
      </c>
      <c r="G28" s="27" t="s">
        <v>5</v>
      </c>
      <c r="H28" s="27" t="s">
        <v>7</v>
      </c>
      <c r="I28" s="27" t="s">
        <v>0</v>
      </c>
      <c r="J28" s="27" t="s">
        <v>7</v>
      </c>
      <c r="K28" s="29" t="s">
        <v>2</v>
      </c>
      <c r="L28" s="27" t="s">
        <v>7</v>
      </c>
      <c r="M28" s="26" t="s">
        <v>9</v>
      </c>
      <c r="N28" s="26" t="s">
        <v>10</v>
      </c>
      <c r="O28" s="14"/>
      <c r="P28" s="9"/>
    </row>
    <row r="29" spans="1:16" ht="18" thickTop="1" thickBot="1">
      <c r="A29" s="10"/>
      <c r="B29" s="114" t="str">
        <f>szkoły!D3</f>
        <v>Banaszczyk Dawid</v>
      </c>
      <c r="C29" s="103">
        <v>9.51</v>
      </c>
      <c r="D29" s="104">
        <f>IF(C29&gt;="",0,IF(C29&gt;=11.61,0,IF(C29&lt;6.91,(200+(6.91-C29)*100),VLOOKUP(-C29,baza!$E:$F,2,1))))</f>
        <v>38</v>
      </c>
      <c r="E29" s="103">
        <v>39</v>
      </c>
      <c r="F29" s="104">
        <f>IF(E29&lt;18,0,IF(E29&gt;104,(200+(E29-104)*4),VLOOKUP(E29,baza!$C$3:$F$202,4,1)))</f>
        <v>43</v>
      </c>
      <c r="G29" s="105"/>
      <c r="H29" s="104">
        <f>IF(G29&lt;baza!$I$202,0,IF(G29&gt;baza!$I$3,(200+(G29-206)*2),VLOOKUP(G29,baza!$I:$J,2,0)))</f>
        <v>0</v>
      </c>
      <c r="I29" s="105">
        <v>442</v>
      </c>
      <c r="J29" s="104">
        <f>IF(I29&lt;210,0,IF(I29&gt;712,(200+I29-712),VLOOKUP(I29,baza!$B$3:$F$202,5,1)))</f>
        <v>55</v>
      </c>
      <c r="K29" s="106">
        <v>354.32</v>
      </c>
      <c r="L29" s="104">
        <f>IF(K29="",0,IF(K29&gt;(-1*baza!$D$3),0,IF(K29&lt;232.3,INT(200+(232.3-K29)*3),VLOOKUP(-K29,baza!$D$1:$F$203,3,1))))</f>
        <v>30</v>
      </c>
      <c r="M29" s="107">
        <f t="shared" ref="M29:M34" si="6">(D29+F29+H29+J29)</f>
        <v>136</v>
      </c>
      <c r="N29" s="108">
        <f t="shared" ref="N29:N34" si="7">M29+L29</f>
        <v>166</v>
      </c>
      <c r="O29" s="14"/>
      <c r="P29" s="9"/>
    </row>
    <row r="30" spans="1:16" ht="18" thickTop="1" thickBot="1">
      <c r="A30" s="30" t="str">
        <f>O33 &amp;"  " &amp;"I dzień"</f>
        <v>797  I dzień</v>
      </c>
      <c r="B30" s="114" t="str">
        <f>szkoły!D4</f>
        <v>Kroguec Antoni</v>
      </c>
      <c r="C30" s="103">
        <v>9.02</v>
      </c>
      <c r="D30" s="104">
        <f>IF(C30&gt;="",0,IF(C30&gt;=11.61,0,IF(C30&lt;6.91,(200+(6.91-C30)*100),VLOOKUP(-C30,baza!$E:$F,2,1))))</f>
        <v>54</v>
      </c>
      <c r="E30" s="103">
        <v>41</v>
      </c>
      <c r="F30" s="104">
        <f>IF(E30&lt;18,0,IF(E30&gt;104,(200+(E30-104)*4),VLOOKUP(E30,baza!$C$3:$F$202,4,1)))</f>
        <v>47</v>
      </c>
      <c r="G30" s="105"/>
      <c r="H30" s="104">
        <f>IF(G30&lt;baza!$I$202,0,IF(G30&gt;baza!$I$3,(200+(G30-206)*2),VLOOKUP(G30,baza!$I:$J,2,0)))</f>
        <v>0</v>
      </c>
      <c r="I30" s="105">
        <v>432</v>
      </c>
      <c r="J30" s="104">
        <f>IF(I30&lt;210,0,IF(I30&gt;712,(200+I30-712),VLOOKUP(I30,baza!$B$3:$F$202,5,1)))</f>
        <v>51</v>
      </c>
      <c r="K30" s="106">
        <v>350.73</v>
      </c>
      <c r="L30" s="104">
        <f>IF(K30="",0,IF(K30&gt;(-1*baza!$D$3),0,IF(K30&lt;232.3,INT(200+(232.3-K30)*3),VLOOKUP(-K30,baza!$D$1:$F$203,3,1))))</f>
        <v>33</v>
      </c>
      <c r="M30" s="107">
        <f t="shared" si="6"/>
        <v>152</v>
      </c>
      <c r="N30" s="108">
        <f t="shared" si="7"/>
        <v>185</v>
      </c>
      <c r="O30" s="14"/>
      <c r="P30" s="9"/>
    </row>
    <row r="31" spans="1:16" ht="18" thickTop="1" thickBot="1">
      <c r="A31" s="30" t="str">
        <f>O34 &amp;"  " &amp;"II dzień"</f>
        <v>847  II dzień</v>
      </c>
      <c r="B31" s="114" t="str">
        <f>szkoły!D5</f>
        <v>May Franciszek</v>
      </c>
      <c r="C31" s="103">
        <v>8.92</v>
      </c>
      <c r="D31" s="104">
        <f>IF(C31&gt;="",0,IF(C31&gt;=11.61,0,IF(C31&lt;6.91,(200+(6.91-C31)*100),VLOOKUP(-C31,baza!$E:$F,2,1))))</f>
        <v>57</v>
      </c>
      <c r="E31" s="103">
        <v>40</v>
      </c>
      <c r="F31" s="104">
        <f>IF(E31&lt;18,0,IF(E31&gt;104,(200+(E31-104)*4),VLOOKUP(E31,baza!$C$3:$F$202,4,1)))</f>
        <v>45</v>
      </c>
      <c r="G31" s="105"/>
      <c r="H31" s="104">
        <f>IF(G31&lt;baza!$I$202,0,IF(G31&gt;baza!$I$3,(200+(G31-206)*2),VLOOKUP(G31,baza!$I:$J,2,0)))</f>
        <v>0</v>
      </c>
      <c r="I31" s="105">
        <v>441</v>
      </c>
      <c r="J31" s="104">
        <f>IF(I31&lt;210,0,IF(I31&gt;712,(200+I31-712),VLOOKUP(I31,baza!$B$3:$F$202,5,1)))</f>
        <v>54</v>
      </c>
      <c r="K31" s="106">
        <v>404.05</v>
      </c>
      <c r="L31" s="104">
        <f>IF(K31="",0,IF(K31&gt;(-1*baza!$D$3),0,IF(K31&lt;232.3,INT(200+(232.3-K31)*3),VLOOKUP(-K31,baza!$D$1:$F$203,3,1))))</f>
        <v>22</v>
      </c>
      <c r="M31" s="107">
        <f t="shared" si="6"/>
        <v>156</v>
      </c>
      <c r="N31" s="108">
        <f t="shared" si="7"/>
        <v>178</v>
      </c>
      <c r="O31" s="14"/>
      <c r="P31" s="9"/>
    </row>
    <row r="32" spans="1:16" ht="18" thickTop="1" thickBot="1">
      <c r="A32" s="10"/>
      <c r="B32" s="114" t="str">
        <f>szkoły!D6</f>
        <v>Pawlak Kacper</v>
      </c>
      <c r="C32" s="103">
        <v>9.2100000000000009</v>
      </c>
      <c r="D32" s="104">
        <f>IF(C32&gt;="",0,IF(C32&gt;=11.61,0,IF(C32&lt;6.91,(200+(6.91-C32)*100),VLOOKUP(-C32,baza!$E:$F,2,1))))</f>
        <v>47</v>
      </c>
      <c r="E32" s="103">
        <v>32</v>
      </c>
      <c r="F32" s="104">
        <f>IF(E32&lt;18,0,IF(E32&gt;104,(200+(E32-104)*4),VLOOKUP(E32,baza!$C$3:$F$202,4,1)))</f>
        <v>29</v>
      </c>
      <c r="G32" s="105"/>
      <c r="H32" s="104">
        <f>IF(G32&lt;baza!$I$202,0,IF(G32&gt;baza!$I$3,(200+(G32-206)*2),VLOOKUP(G32,baza!$I:$J,2,0)))</f>
        <v>0</v>
      </c>
      <c r="I32" s="105">
        <v>414</v>
      </c>
      <c r="J32" s="104">
        <f>IF(I32&lt;210,0,IF(I32&gt;712,(200+I32-712),VLOOKUP(I32,baza!$B$3:$F$202,5,1)))</f>
        <v>45</v>
      </c>
      <c r="K32" s="106">
        <v>344.94</v>
      </c>
      <c r="L32" s="104">
        <f>IF(K32="",0,IF(K32&gt;(-1*baza!$D$3),0,IF(K32&lt;232.3,INT(200+(232.3-K32)*3),VLOOKUP(-K32,baza!$D$1:$F$203,3,1))))</f>
        <v>39</v>
      </c>
      <c r="M32" s="107">
        <f t="shared" si="6"/>
        <v>121</v>
      </c>
      <c r="N32" s="108">
        <f t="shared" si="7"/>
        <v>160</v>
      </c>
      <c r="O32" s="14"/>
      <c r="P32" s="9"/>
    </row>
    <row r="33" spans="1:16" ht="18" thickTop="1" thickBot="1">
      <c r="A33" s="10"/>
      <c r="B33" s="114" t="str">
        <f>szkoły!D7</f>
        <v>Sala Szymon</v>
      </c>
      <c r="C33" s="103">
        <v>9.5</v>
      </c>
      <c r="D33" s="104">
        <f>IF(C33&gt;="",0,IF(C33&gt;=11.61,0,IF(C33&lt;6.91,(200+(6.91-C33)*100),VLOOKUP(-C33,baza!$E:$F,2,1))))</f>
        <v>39</v>
      </c>
      <c r="E33" s="103">
        <v>34</v>
      </c>
      <c r="F33" s="104">
        <f>IF(E33&lt;18,0,IF(E33&gt;104,(200+(E33-104)*4),VLOOKUP(E33,baza!$C$3:$F$202,4,1)))</f>
        <v>33</v>
      </c>
      <c r="G33" s="105"/>
      <c r="H33" s="104">
        <f>IF(G33&lt;baza!$I$202,0,IF(G33&gt;baza!$I$3,(200+(G33-206)*2),VLOOKUP(G33,baza!$I:$J,2,0)))</f>
        <v>0</v>
      </c>
      <c r="I33" s="105">
        <v>454</v>
      </c>
      <c r="J33" s="104">
        <f>IF(I33&lt;210,0,IF(I33&gt;712,(200+I33-712),VLOOKUP(I33,baza!$B$3:$F$202,5,1)))</f>
        <v>59</v>
      </c>
      <c r="K33" s="106">
        <v>358.63</v>
      </c>
      <c r="L33" s="104">
        <f>IF(K33="",0,IF(K33&gt;(-1*baza!$D$3),0,IF(K33&lt;232.3,INT(200+(232.3-K33)*3),VLOOKUP(-K33,baza!$D$1:$F$203,3,1))))</f>
        <v>27</v>
      </c>
      <c r="M33" s="107">
        <f t="shared" si="6"/>
        <v>131</v>
      </c>
      <c r="N33" s="108">
        <f t="shared" si="7"/>
        <v>158</v>
      </c>
      <c r="O33" s="15">
        <f>SUM(M29:M34)</f>
        <v>797</v>
      </c>
      <c r="P33" s="8" t="s">
        <v>9</v>
      </c>
    </row>
    <row r="34" spans="1:16" ht="18" thickTop="1" thickBot="1">
      <c r="A34" s="10"/>
      <c r="B34" s="114" t="str">
        <f>szkoły!D8</f>
        <v>Walasik Kacper</v>
      </c>
      <c r="C34" s="103">
        <v>9.84</v>
      </c>
      <c r="D34" s="104">
        <f>IF(C34&gt;="",0,IF(C34&gt;=11.61,0,IF(C34&lt;6.91,(200+(6.91-C34)*100),VLOOKUP(-C34,baza!$E:$F,2,1))))</f>
        <v>31</v>
      </c>
      <c r="E34" s="103">
        <v>32</v>
      </c>
      <c r="F34" s="104">
        <f>IF(E34&lt;18,0,IF(E34&gt;104,(200+(E34-104)*4),VLOOKUP(E34,baza!$C$3:$F$202,4,1)))</f>
        <v>29</v>
      </c>
      <c r="G34" s="105"/>
      <c r="H34" s="104">
        <f>IF(G34&lt;baza!$I$202,0,IF(G34&gt;baza!$I$3,(200+(G34-206)*2),VLOOKUP(G34,baza!$I:$J,2,0)))</f>
        <v>0</v>
      </c>
      <c r="I34" s="105">
        <v>401</v>
      </c>
      <c r="J34" s="104">
        <f>IF(I34&lt;210,0,IF(I34&gt;712,(200+I34-712),VLOOKUP(I34,baza!$B$3:$F$202,5,1)))</f>
        <v>41</v>
      </c>
      <c r="K34" s="106">
        <v>341.46</v>
      </c>
      <c r="L34" s="104">
        <f>IF(K34="",0,IF(K34&gt;(-1*baza!$D$3),0,IF(K34&lt;232.3,INT(200+(232.3-K34)*3),VLOOKUP(-K34,baza!$D$1:$F$203,3,1))))</f>
        <v>42</v>
      </c>
      <c r="M34" s="107">
        <f t="shared" si="6"/>
        <v>101</v>
      </c>
      <c r="N34" s="108">
        <f t="shared" si="7"/>
        <v>143</v>
      </c>
      <c r="O34" s="15">
        <f>IF(COUNT(N29:N34)&lt;6,SUM(N29:N34),SUM(N29:N34)-MIN(N29:N34))</f>
        <v>847</v>
      </c>
      <c r="P34" s="8" t="s">
        <v>11</v>
      </c>
    </row>
    <row r="35" spans="1:16" ht="16.5" thickTop="1" thickBot="1">
      <c r="A35" s="13" t="str">
        <f>szkoły!A10</f>
        <v>SP9 Siedlce</v>
      </c>
      <c r="B35" s="113" t="s">
        <v>6</v>
      </c>
      <c r="C35" s="25" t="s">
        <v>3</v>
      </c>
      <c r="D35" s="27" t="s">
        <v>7</v>
      </c>
      <c r="E35" s="28" t="s">
        <v>8</v>
      </c>
      <c r="F35" s="27" t="s">
        <v>7</v>
      </c>
      <c r="G35" s="27" t="s">
        <v>5</v>
      </c>
      <c r="H35" s="27" t="s">
        <v>7</v>
      </c>
      <c r="I35" s="27" t="s">
        <v>0</v>
      </c>
      <c r="J35" s="27" t="s">
        <v>7</v>
      </c>
      <c r="K35" s="29" t="s">
        <v>2</v>
      </c>
      <c r="L35" s="27" t="s">
        <v>7</v>
      </c>
      <c r="M35" s="26" t="s">
        <v>9</v>
      </c>
      <c r="N35" s="26" t="s">
        <v>10</v>
      </c>
      <c r="O35" s="14"/>
      <c r="P35" s="9"/>
    </row>
    <row r="36" spans="1:16" ht="18" thickTop="1" thickBot="1">
      <c r="A36" s="7"/>
      <c r="B36" s="114" t="str">
        <f>szkoły!A11</f>
        <v>Dąbrowski Bartosz</v>
      </c>
      <c r="C36" s="103">
        <v>8.98</v>
      </c>
      <c r="D36" s="104">
        <f>IF(C36&gt;="",0,IF(C36&gt;=11.61,0,IF(C36&lt;6.91,(200+(6.91-C36)*100),VLOOKUP(-C36,baza!$E:$F,2,1))))</f>
        <v>55</v>
      </c>
      <c r="E36" s="103">
        <v>32</v>
      </c>
      <c r="F36" s="104">
        <f>IF(E36&lt;18,0,IF(E36&gt;104,(200+(E36-104)*4),VLOOKUP(E36,baza!$C$3:$F$202,4,1)))</f>
        <v>29</v>
      </c>
      <c r="G36" s="105"/>
      <c r="H36" s="104">
        <f>IF(G36&lt;baza!$I$202,0,IF(G36&gt;baza!$I$3,(200+(G36-206)*2),VLOOKUP(G36,baza!$I:$J,2,0)))</f>
        <v>0</v>
      </c>
      <c r="I36" s="105">
        <v>413</v>
      </c>
      <c r="J36" s="104">
        <f>IF(I36&lt;210,0,IF(I36&gt;712,(200+I36-712),VLOOKUP(I36,baza!$B$3:$F$202,5,1)))</f>
        <v>45</v>
      </c>
      <c r="K36" s="106">
        <v>324.18</v>
      </c>
      <c r="L36" s="104">
        <f>IF(K36="",0,IF(K36&gt;(-1*baza!$D$3),0,IF(K36&lt;232.3,INT(200+(232.3-K36)*3),VLOOKUP(-K36,baza!$D$1:$F$203,3,1))))</f>
        <v>62</v>
      </c>
      <c r="M36" s="107">
        <f t="shared" ref="M36:M41" si="8">(D36+F36+H36+J36)</f>
        <v>129</v>
      </c>
      <c r="N36" s="108">
        <f t="shared" ref="N36:N41" si="9">M36+L36</f>
        <v>191</v>
      </c>
      <c r="O36" s="14"/>
      <c r="P36" s="9"/>
    </row>
    <row r="37" spans="1:16" ht="18" thickTop="1" thickBot="1">
      <c r="A37" s="30" t="str">
        <f>O40 &amp;"  " &amp;"I dzień"</f>
        <v>925  I dzień</v>
      </c>
      <c r="B37" s="114" t="str">
        <f>szkoły!A12</f>
        <v>Kamiński Mateusz</v>
      </c>
      <c r="C37" s="103">
        <v>8.6</v>
      </c>
      <c r="D37" s="104">
        <f>IF(C37&gt;="",0,IF(C37&gt;=11.61,0,IF(C37&lt;6.91,(200+(6.91-C37)*100),VLOOKUP(-C37,baza!$E:$F,2,1))))</f>
        <v>68</v>
      </c>
      <c r="E37" s="103">
        <v>62</v>
      </c>
      <c r="F37" s="104">
        <f>IF(E37&lt;18,0,IF(E37&gt;104,(200+(E37-104)*4),VLOOKUP(E37,baza!$C$3:$F$202,4,1)))</f>
        <v>89</v>
      </c>
      <c r="G37" s="105"/>
      <c r="H37" s="104">
        <f>IF(G37&lt;baza!$I$202,0,IF(G37&gt;baza!$I$3,(200+(G37-206)*2),VLOOKUP(G37,baza!$I:$J,2,0)))</f>
        <v>0</v>
      </c>
      <c r="I37" s="105">
        <v>450</v>
      </c>
      <c r="J37" s="104">
        <f>IF(I37&lt;210,0,IF(I37&gt;712,(200+I37-712),VLOOKUP(I37,baza!$B$3:$F$202,5,1)))</f>
        <v>57</v>
      </c>
      <c r="K37" s="106">
        <v>348.58</v>
      </c>
      <c r="L37" s="104">
        <f>IF(K37="",0,IF(K37&gt;(-1*baza!$D$3),0,IF(K37&lt;232.3,INT(200+(232.3-K37)*3),VLOOKUP(-K37,baza!$D$1:$F$203,3,1))))</f>
        <v>35</v>
      </c>
      <c r="M37" s="107">
        <f t="shared" si="8"/>
        <v>214</v>
      </c>
      <c r="N37" s="108">
        <f t="shared" si="9"/>
        <v>249</v>
      </c>
      <c r="O37" s="14"/>
      <c r="P37" s="9"/>
    </row>
    <row r="38" spans="1:16" ht="18" thickTop="1" thickBot="1">
      <c r="A38" s="30" t="str">
        <f>O41 &amp;"  " &amp;"II dzień"</f>
        <v>1082  II dzień</v>
      </c>
      <c r="B38" s="114" t="str">
        <f>szkoły!A13</f>
        <v>Krasuski Jakub</v>
      </c>
      <c r="C38" s="103">
        <v>9.31</v>
      </c>
      <c r="D38" s="104">
        <f>IF(C38&gt;="",0,IF(C38&gt;=11.61,0,IF(C38&lt;6.91,(200+(6.91-C38)*100),VLOOKUP(-C38,baza!$E:$F,2,1))))</f>
        <v>44</v>
      </c>
      <c r="E38" s="103">
        <v>34.5</v>
      </c>
      <c r="F38" s="104">
        <f>IF(E38&lt;18,0,IF(E38&gt;104,(200+(E38-104)*4),VLOOKUP(E38,baza!$C$3:$F$202,4,1)))</f>
        <v>34</v>
      </c>
      <c r="G38" s="105"/>
      <c r="H38" s="104">
        <f>IF(G38&lt;baza!$I$202,0,IF(G38&gt;baza!$I$3,(200+(G38-206)*2),VLOOKUP(G38,baza!$I:$J,2,0)))</f>
        <v>0</v>
      </c>
      <c r="I38" s="105">
        <v>383</v>
      </c>
      <c r="J38" s="104">
        <f>IF(I38&lt;210,0,IF(I38&gt;712,(200+I38-712),VLOOKUP(I38,baza!$B$3:$F$202,5,1)))</f>
        <v>35</v>
      </c>
      <c r="K38" s="106">
        <v>325.95</v>
      </c>
      <c r="L38" s="104">
        <f>IF(K38="",0,IF(K38&gt;(-1*baza!$D$3),0,IF(K38&lt;232.3,INT(200+(232.3-K38)*3),VLOOKUP(-K38,baza!$D$1:$F$203,3,1))))</f>
        <v>60</v>
      </c>
      <c r="M38" s="107">
        <f t="shared" si="8"/>
        <v>113</v>
      </c>
      <c r="N38" s="108">
        <f t="shared" si="9"/>
        <v>173</v>
      </c>
      <c r="O38" s="14"/>
      <c r="P38" s="9"/>
    </row>
    <row r="39" spans="1:16" ht="18" thickTop="1" thickBot="1">
      <c r="A39" s="7"/>
      <c r="B39" s="114" t="str">
        <f>szkoły!A14</f>
        <v>Sajewicz Piotr</v>
      </c>
      <c r="C39" s="103">
        <v>9.5299999999999994</v>
      </c>
      <c r="D39" s="104">
        <f>IF(C39&gt;="",0,IF(C39&gt;=11.61,0,IF(C39&lt;6.91,(200+(6.91-C39)*100),VLOOKUP(-C39,baza!$E:$F,2,1))))</f>
        <v>38</v>
      </c>
      <c r="E39" s="103">
        <v>37</v>
      </c>
      <c r="F39" s="104">
        <f>IF(E39&lt;18,0,IF(E39&gt;104,(200+(E39-104)*4),VLOOKUP(E39,baza!$C$3:$F$202,4,1)))</f>
        <v>39</v>
      </c>
      <c r="G39" s="105"/>
      <c r="H39" s="104">
        <f>IF(G39&lt;baza!$I$202,0,IF(G39&gt;baza!$I$3,(200+(G39-206)*2),VLOOKUP(G39,baza!$I:$J,2,0)))</f>
        <v>0</v>
      </c>
      <c r="I39" s="105">
        <v>421</v>
      </c>
      <c r="J39" s="104">
        <f>IF(I39&lt;210,0,IF(I39&gt;712,(200+I39-712),VLOOKUP(I39,baza!$B$3:$F$202,5,1)))</f>
        <v>48</v>
      </c>
      <c r="K39" s="106">
        <v>338.26</v>
      </c>
      <c r="L39" s="104">
        <f>IF(K39="",0,IF(K39&gt;(-1*baza!$D$3),0,IF(K39&lt;232.3,INT(200+(232.3-K39)*3),VLOOKUP(-K39,baza!$D$1:$F$203,3,1))))</f>
        <v>46</v>
      </c>
      <c r="M39" s="107">
        <f t="shared" si="8"/>
        <v>125</v>
      </c>
      <c r="N39" s="108">
        <f t="shared" si="9"/>
        <v>171</v>
      </c>
      <c r="O39" s="14"/>
      <c r="P39" s="9"/>
    </row>
    <row r="40" spans="1:16" ht="18" thickTop="1" thickBot="1">
      <c r="A40" s="7"/>
      <c r="B40" s="114" t="str">
        <f>szkoły!A15</f>
        <v>Sypiański Szymon</v>
      </c>
      <c r="C40" s="103">
        <v>8.73</v>
      </c>
      <c r="D40" s="104">
        <f>IF(C40&gt;="",0,IF(C40&gt;=11.61,0,IF(C40&lt;6.91,(200+(6.91-C40)*100),VLOOKUP(-C40,baza!$E:$F,2,1))))</f>
        <v>63</v>
      </c>
      <c r="E40" s="103">
        <v>44</v>
      </c>
      <c r="F40" s="104">
        <f>IF(E40&lt;18,0,IF(E40&gt;104,(200+(E40-104)*4),VLOOKUP(E40,baza!$C$3:$F$202,4,1)))</f>
        <v>53</v>
      </c>
      <c r="G40" s="105"/>
      <c r="H40" s="104">
        <f>IF(G40&lt;baza!$I$202,0,IF(G40&gt;baza!$I$3,(200+(G40-206)*2),VLOOKUP(G40,baza!$I:$J,2,0)))</f>
        <v>0</v>
      </c>
      <c r="I40" s="105">
        <v>444</v>
      </c>
      <c r="J40" s="104">
        <f>IF(I40&lt;210,0,IF(I40&gt;712,(200+I40-712),VLOOKUP(I40,baza!$B$3:$F$202,5,1)))</f>
        <v>55</v>
      </c>
      <c r="K40" s="106">
        <v>318.08999999999997</v>
      </c>
      <c r="L40" s="104">
        <f>IF(K40="",0,IF(K40&gt;(-1*baza!$D$3),0,IF(K40&lt;232.3,INT(200+(232.3-K40)*3),VLOOKUP(-K40,baza!$D$1:$F$203,3,1))))</f>
        <v>70</v>
      </c>
      <c r="M40" s="107">
        <f t="shared" si="8"/>
        <v>171</v>
      </c>
      <c r="N40" s="108">
        <f t="shared" si="9"/>
        <v>241</v>
      </c>
      <c r="O40" s="15">
        <f>SUM(M36:M41)</f>
        <v>925</v>
      </c>
      <c r="P40" s="8" t="s">
        <v>9</v>
      </c>
    </row>
    <row r="41" spans="1:16" ht="18" thickTop="1" thickBot="1">
      <c r="A41" s="7"/>
      <c r="B41" s="114" t="str">
        <f>szkoły!A16</f>
        <v>Terlikowski Ignacy</v>
      </c>
      <c r="C41" s="103">
        <v>8.4700000000000006</v>
      </c>
      <c r="D41" s="104">
        <f>IF(C41&gt;="",0,IF(C41&gt;=11.61,0,IF(C41&lt;6.91,(200+(6.91-C41)*100),VLOOKUP(-C41,baza!$E:$F,2,1))))</f>
        <v>72</v>
      </c>
      <c r="E41" s="103">
        <v>32.5</v>
      </c>
      <c r="F41" s="104">
        <f>IF(E41&lt;18,0,IF(E41&gt;104,(200+(E41-104)*4),VLOOKUP(E41,baza!$C$3:$F$202,4,1)))</f>
        <v>30</v>
      </c>
      <c r="G41" s="105"/>
      <c r="H41" s="104">
        <f>IF(G41&lt;baza!$I$202,0,IF(G41&gt;baza!$I$3,(200+(G41-206)*2),VLOOKUP(G41,baza!$I:$J,2,0)))</f>
        <v>0</v>
      </c>
      <c r="I41" s="105">
        <v>492</v>
      </c>
      <c r="J41" s="104">
        <f>IF(I41&lt;210,0,IF(I41&gt;712,(200+I41-712),VLOOKUP(I41,baza!$B$3:$F$202,5,1)))</f>
        <v>71</v>
      </c>
      <c r="K41" s="106">
        <v>330.2</v>
      </c>
      <c r="L41" s="104">
        <f>IF(K41="",0,IF(K41&gt;(-1*baza!$D$3),0,IF(K41&lt;232.3,INT(200+(232.3-K41)*3),VLOOKUP(-K41,baza!$D$1:$F$203,3,1))))</f>
        <v>55</v>
      </c>
      <c r="M41" s="107">
        <f t="shared" si="8"/>
        <v>173</v>
      </c>
      <c r="N41" s="108">
        <f t="shared" si="9"/>
        <v>228</v>
      </c>
      <c r="O41" s="15">
        <f>IF(COUNT(N36:N41)&lt;6,SUM(N36:N41),SUM(N36:N41)-MIN(N36:N41))</f>
        <v>1082</v>
      </c>
      <c r="P41" s="8" t="s">
        <v>11</v>
      </c>
    </row>
    <row r="42" spans="1:16" ht="16.5" thickTop="1" thickBot="1">
      <c r="A42" s="13" t="str">
        <f>szkoły!B10</f>
        <v>SP1 Ostrów Maz</v>
      </c>
      <c r="B42" s="113" t="s">
        <v>6</v>
      </c>
      <c r="C42" s="25" t="s">
        <v>3</v>
      </c>
      <c r="D42" s="27" t="s">
        <v>7</v>
      </c>
      <c r="E42" s="28" t="s">
        <v>8</v>
      </c>
      <c r="F42" s="27" t="s">
        <v>7</v>
      </c>
      <c r="G42" s="27" t="s">
        <v>5</v>
      </c>
      <c r="H42" s="27" t="s">
        <v>7</v>
      </c>
      <c r="I42" s="27" t="s">
        <v>0</v>
      </c>
      <c r="J42" s="27" t="s">
        <v>7</v>
      </c>
      <c r="K42" s="29" t="s">
        <v>2</v>
      </c>
      <c r="L42" s="27" t="s">
        <v>7</v>
      </c>
      <c r="M42" s="26" t="s">
        <v>9</v>
      </c>
      <c r="N42" s="26" t="s">
        <v>10</v>
      </c>
      <c r="O42" s="14"/>
      <c r="P42" s="9"/>
    </row>
    <row r="43" spans="1:16" ht="18" thickTop="1" thickBot="1">
      <c r="A43" s="10"/>
      <c r="B43" s="114" t="str">
        <f>szkoły!B11</f>
        <v>Baran Wiktor</v>
      </c>
      <c r="C43" s="103">
        <v>9.3000000000000007</v>
      </c>
      <c r="D43" s="104">
        <f>IF(C43&gt;="",0,IF(C43&gt;=11.61,0,IF(C43&lt;6.91,(200+(6.91-C43)*100),VLOOKUP(-C43,baza!$E:$F,2,1))))</f>
        <v>44</v>
      </c>
      <c r="E43" s="103">
        <v>42</v>
      </c>
      <c r="F43" s="104">
        <f>IF(E43&lt;18,0,IF(E43&gt;104,(200+(E43-104)*4),VLOOKUP(E43,baza!$C$3:$F$202,4,1)))</f>
        <v>49</v>
      </c>
      <c r="G43" s="105"/>
      <c r="H43" s="104">
        <f>IF(G43&lt;baza!$I$202,0,IF(G43&gt;baza!$I$3,(200+(G43-206)*2),VLOOKUP(G43,baza!$I:$J,2,0)))</f>
        <v>0</v>
      </c>
      <c r="I43" s="105">
        <v>436</v>
      </c>
      <c r="J43" s="104">
        <f>IF(I43&lt;210,0,IF(I43&gt;712,(200+I43-712),VLOOKUP(I43,baza!$B$3:$F$202,5,1)))</f>
        <v>53</v>
      </c>
      <c r="K43" s="106">
        <v>329.98</v>
      </c>
      <c r="L43" s="104">
        <f>IF(K43="",0,IF(K43&gt;(-1*baza!$D$3),0,IF(K43&lt;232.3,INT(200+(232.3-K43)*3),VLOOKUP(-K43,baza!$D$1:$F$203,3,1))))</f>
        <v>55</v>
      </c>
      <c r="M43" s="107">
        <f t="shared" ref="M43:M48" si="10">(D43+F43+H43+J43)</f>
        <v>146</v>
      </c>
      <c r="N43" s="108">
        <f t="shared" ref="N43:N48" si="11">M43+L43</f>
        <v>201</v>
      </c>
      <c r="O43" s="14"/>
      <c r="P43" s="9"/>
    </row>
    <row r="44" spans="1:16" ht="18" thickTop="1" thickBot="1">
      <c r="A44" s="30" t="str">
        <f>O47 &amp;"  " &amp;"I dzień"</f>
        <v>789  I dzień</v>
      </c>
      <c r="B44" s="114" t="str">
        <f>szkoły!B12</f>
        <v>Kaczerski Kuba</v>
      </c>
      <c r="C44" s="103">
        <v>9.6</v>
      </c>
      <c r="D44" s="104">
        <f>IF(C44&gt;="",0,IF(C44&gt;=11.61,0,IF(C44&lt;6.91,(200+(6.91-C44)*100),VLOOKUP(-C44,baza!$E:$F,2,1))))</f>
        <v>36</v>
      </c>
      <c r="E44" s="103">
        <v>34</v>
      </c>
      <c r="F44" s="104">
        <f>IF(E44&lt;18,0,IF(E44&gt;104,(200+(E44-104)*4),VLOOKUP(E44,baza!$C$3:$F$202,4,1)))</f>
        <v>33</v>
      </c>
      <c r="G44" s="105"/>
      <c r="H44" s="104">
        <f>IF(G44&lt;baza!$I$202,0,IF(G44&gt;baza!$I$3,(200+(G44-206)*2),VLOOKUP(G44,baza!$I:$J,2,0)))</f>
        <v>0</v>
      </c>
      <c r="I44" s="105">
        <v>447</v>
      </c>
      <c r="J44" s="104">
        <f>IF(I44&lt;210,0,IF(I44&gt;712,(200+I44-712),VLOOKUP(I44,baza!$B$3:$F$202,5,1)))</f>
        <v>56</v>
      </c>
      <c r="K44" s="106">
        <v>517.65</v>
      </c>
      <c r="L44" s="104">
        <f>IF(K44="",0,IF(K44&gt;(-1*baza!$D$3),0,IF(K44&lt;232.3,INT(200+(232.3-K44)*3),VLOOKUP(-K44,baza!$D$1:$F$203,3,1))))</f>
        <v>0</v>
      </c>
      <c r="M44" s="107">
        <f t="shared" si="10"/>
        <v>125</v>
      </c>
      <c r="N44" s="108">
        <f t="shared" si="11"/>
        <v>125</v>
      </c>
      <c r="O44" s="14"/>
      <c r="P44" s="9"/>
    </row>
    <row r="45" spans="1:16" ht="18" thickTop="1" thickBot="1">
      <c r="A45" s="30" t="str">
        <f>O48 &amp;"  " &amp;"II dzień"</f>
        <v>963  II dzień</v>
      </c>
      <c r="B45" s="114" t="str">
        <f>szkoły!B13</f>
        <v>Malec Alan</v>
      </c>
      <c r="C45" s="103">
        <v>10.35</v>
      </c>
      <c r="D45" s="104">
        <f>IF(C45&gt;="",0,IF(C45&gt;=11.61,0,IF(C45&lt;6.91,(200+(6.91-C45)*100),VLOOKUP(-C45,baza!$E:$F,2,1))))</f>
        <v>21</v>
      </c>
      <c r="E45" s="103">
        <v>28.5</v>
      </c>
      <c r="F45" s="104">
        <f>IF(E45&lt;18,0,IF(E45&gt;104,(200+(E45-104)*4),VLOOKUP(E45,baza!$C$3:$F$202,4,1)))</f>
        <v>22</v>
      </c>
      <c r="G45" s="105"/>
      <c r="H45" s="104">
        <f>IF(G45&lt;baza!$I$202,0,IF(G45&gt;baza!$I$3,(200+(G45-206)*2),VLOOKUP(G45,baza!$I:$J,2,0)))</f>
        <v>0</v>
      </c>
      <c r="I45" s="105">
        <v>387</v>
      </c>
      <c r="J45" s="104">
        <f>IF(I45&lt;210,0,IF(I45&gt;712,(200+I45-712),VLOOKUP(I45,baza!$B$3:$F$202,5,1)))</f>
        <v>36</v>
      </c>
      <c r="K45" s="106">
        <v>342.09</v>
      </c>
      <c r="L45" s="104">
        <f>IF(K45="",0,IF(K45&gt;(-1*baza!$D$3),0,IF(K45&lt;232.3,INT(200+(232.3-K45)*3),VLOOKUP(-K45,baza!$D$1:$F$203,3,1))))</f>
        <v>42</v>
      </c>
      <c r="M45" s="107">
        <f t="shared" si="10"/>
        <v>79</v>
      </c>
      <c r="N45" s="108">
        <f t="shared" si="11"/>
        <v>121</v>
      </c>
      <c r="O45" s="14"/>
      <c r="P45" s="9"/>
    </row>
    <row r="46" spans="1:16" ht="18" thickTop="1" thickBot="1">
      <c r="A46" s="10"/>
      <c r="B46" s="114" t="str">
        <f>szkoły!B14</f>
        <v>Maliszewski Jan</v>
      </c>
      <c r="C46" s="103">
        <v>8.82</v>
      </c>
      <c r="D46" s="104">
        <f>IF(C46&gt;="",0,IF(C46&gt;=11.61,0,IF(C46&lt;6.91,(200+(6.91-C46)*100),VLOOKUP(-C46,baza!$E:$F,2,1))))</f>
        <v>60</v>
      </c>
      <c r="E46" s="103">
        <v>26.5</v>
      </c>
      <c r="F46" s="104">
        <f>IF(E46&lt;18,0,IF(E46&gt;104,(200+(E46-104)*4),VLOOKUP(E46,baza!$C$3:$F$202,4,1)))</f>
        <v>18</v>
      </c>
      <c r="G46" s="105"/>
      <c r="H46" s="104">
        <f>IF(G46&lt;baza!$I$202,0,IF(G46&gt;baza!$I$3,(200+(G46-206)*2),VLOOKUP(G46,baza!$I:$J,2,0)))</f>
        <v>0</v>
      </c>
      <c r="I46" s="105">
        <v>439</v>
      </c>
      <c r="J46" s="104">
        <f>IF(I46&lt;210,0,IF(I46&gt;712,(200+I46-712),VLOOKUP(I46,baza!$B$3:$F$202,5,1)))</f>
        <v>54</v>
      </c>
      <c r="K46" s="106">
        <v>325.5</v>
      </c>
      <c r="L46" s="104">
        <f>IF(K46="",0,IF(K46&gt;(-1*baza!$D$3),0,IF(K46&lt;232.3,INT(200+(232.3-K46)*3),VLOOKUP(-K46,baza!$D$1:$F$203,3,1))))</f>
        <v>60</v>
      </c>
      <c r="M46" s="107">
        <f t="shared" si="10"/>
        <v>132</v>
      </c>
      <c r="N46" s="108">
        <f t="shared" si="11"/>
        <v>192</v>
      </c>
      <c r="O46" s="14"/>
      <c r="P46" s="9"/>
    </row>
    <row r="47" spans="1:16" ht="18" thickTop="1" thickBot="1">
      <c r="A47" s="10"/>
      <c r="B47" s="114" t="str">
        <f>szkoły!B15</f>
        <v>Maliszewski Michał</v>
      </c>
      <c r="C47" s="103">
        <v>8.99</v>
      </c>
      <c r="D47" s="104">
        <f>IF(C47&gt;="",0,IF(C47&gt;=11.61,0,IF(C47&lt;6.91,(200+(6.91-C47)*100),VLOOKUP(-C47,baza!$E:$F,2,1))))</f>
        <v>55</v>
      </c>
      <c r="E47" s="103">
        <v>27.5</v>
      </c>
      <c r="F47" s="104">
        <f>IF(E47&lt;18,0,IF(E47&gt;104,(200+(E47-104)*4),VLOOKUP(E47,baza!$C$3:$F$202,4,1)))</f>
        <v>20</v>
      </c>
      <c r="G47" s="105"/>
      <c r="H47" s="104">
        <f>IF(G47&lt;baza!$I$202,0,IF(G47&gt;baza!$I$3,(200+(G47-206)*2),VLOOKUP(G47,baza!$I:$J,2,0)))</f>
        <v>0</v>
      </c>
      <c r="I47" s="105">
        <v>458</v>
      </c>
      <c r="J47" s="104">
        <f>IF(I47&lt;210,0,IF(I47&gt;712,(200+I47-712),VLOOKUP(I47,baza!$B$3:$F$202,5,1)))</f>
        <v>60</v>
      </c>
      <c r="K47" s="106">
        <v>323.08999999999997</v>
      </c>
      <c r="L47" s="104">
        <f>IF(K47="",0,IF(K47&gt;(-1*baza!$D$3),0,IF(K47&lt;232.3,INT(200+(232.3-K47)*3),VLOOKUP(-K47,baza!$D$1:$F$203,3,1))))</f>
        <v>63</v>
      </c>
      <c r="M47" s="107">
        <f t="shared" si="10"/>
        <v>135</v>
      </c>
      <c r="N47" s="108">
        <f t="shared" si="11"/>
        <v>198</v>
      </c>
      <c r="O47" s="15">
        <f>SUM(M43:M48)</f>
        <v>789</v>
      </c>
      <c r="P47" s="8" t="s">
        <v>9</v>
      </c>
    </row>
    <row r="48" spans="1:16" ht="18" thickTop="1" thickBot="1">
      <c r="A48" s="10"/>
      <c r="B48" s="114" t="str">
        <f>szkoły!B16</f>
        <v>Równy Krystian</v>
      </c>
      <c r="C48" s="103">
        <v>8.68</v>
      </c>
      <c r="D48" s="104">
        <f>IF(C48&gt;="",0,IF(C48&gt;=11.61,0,IF(C48&lt;6.91,(200+(6.91-C48)*100),VLOOKUP(-C48,baza!$E:$F,2,1))))</f>
        <v>65</v>
      </c>
      <c r="E48" s="103">
        <v>34.5</v>
      </c>
      <c r="F48" s="104">
        <f>IF(E48&lt;18,0,IF(E48&gt;104,(200+(E48-104)*4),VLOOKUP(E48,baza!$C$3:$F$202,4,1)))</f>
        <v>34</v>
      </c>
      <c r="G48" s="105"/>
      <c r="H48" s="104">
        <f>IF(G48&lt;baza!$I$202,0,IF(G48&gt;baza!$I$3,(200+(G48-206)*2),VLOOKUP(G48,baza!$I:$J,2,0)))</f>
        <v>0</v>
      </c>
      <c r="I48" s="105">
        <v>498</v>
      </c>
      <c r="J48" s="104">
        <f>IF(I48&lt;210,0,IF(I48&gt;712,(200+I48-712),VLOOKUP(I48,baza!$B$3:$F$202,5,1)))</f>
        <v>73</v>
      </c>
      <c r="K48" s="106">
        <v>313.70999999999998</v>
      </c>
      <c r="L48" s="104">
        <f>IF(K48="",0,IF(K48&gt;(-1*baza!$D$3),0,IF(K48&lt;232.3,INT(200+(232.3-K48)*3),VLOOKUP(-K48,baza!$D$1:$F$203,3,1))))</f>
        <v>75</v>
      </c>
      <c r="M48" s="107">
        <f t="shared" si="10"/>
        <v>172</v>
      </c>
      <c r="N48" s="108">
        <f t="shared" si="11"/>
        <v>247</v>
      </c>
      <c r="O48" s="15">
        <f>IF(COUNT(N43:N48)&lt;6,SUM(N43:N48),SUM(N43:N48)-MIN(N43:N48))</f>
        <v>963</v>
      </c>
      <c r="P48" s="8" t="s">
        <v>11</v>
      </c>
    </row>
    <row r="49" spans="1:16" ht="16.5" thickTop="1" thickBot="1">
      <c r="A49" s="13" t="str">
        <f>szkoły!C10</f>
        <v>SP204 Warszawa</v>
      </c>
      <c r="B49" s="113" t="s">
        <v>6</v>
      </c>
      <c r="C49" s="25" t="s">
        <v>3</v>
      </c>
      <c r="D49" s="27" t="s">
        <v>7</v>
      </c>
      <c r="E49" s="28" t="s">
        <v>8</v>
      </c>
      <c r="F49" s="27" t="s">
        <v>7</v>
      </c>
      <c r="G49" s="27" t="s">
        <v>5</v>
      </c>
      <c r="H49" s="27" t="s">
        <v>7</v>
      </c>
      <c r="I49" s="27" t="s">
        <v>0</v>
      </c>
      <c r="J49" s="27" t="s">
        <v>7</v>
      </c>
      <c r="K49" s="29" t="s">
        <v>2</v>
      </c>
      <c r="L49" s="27" t="s">
        <v>7</v>
      </c>
      <c r="M49" s="26" t="s">
        <v>9</v>
      </c>
      <c r="N49" s="26" t="s">
        <v>10</v>
      </c>
      <c r="O49" s="14"/>
      <c r="P49" s="9"/>
    </row>
    <row r="50" spans="1:16" ht="18" thickTop="1" thickBot="1">
      <c r="A50" s="7"/>
      <c r="B50" s="114" t="str">
        <f>szkoły!C11</f>
        <v>Karbowski Aleksander</v>
      </c>
      <c r="C50" s="103">
        <v>8.8000000000000007</v>
      </c>
      <c r="D50" s="104">
        <f>IF(C50&gt;="",0,IF(C50&gt;=11.61,0,IF(C50&lt;6.91,(200+(6.91-C50)*100),VLOOKUP(-C50,baza!$E:$F,2,1))))</f>
        <v>61</v>
      </c>
      <c r="E50" s="103">
        <v>44</v>
      </c>
      <c r="F50" s="104">
        <f>IF(E50&lt;18,0,IF(E50&gt;104,(200+(E50-104)*4),VLOOKUP(E50,baza!$C$3:$F$202,4,1)))</f>
        <v>53</v>
      </c>
      <c r="G50" s="105"/>
      <c r="H50" s="104">
        <f>IF(G50&lt;baza!$I$202,0,IF(G50&gt;baza!$I$3,(200+(G50-206)*2),VLOOKUP(G50,baza!$I:$J,2,0)))</f>
        <v>0</v>
      </c>
      <c r="I50" s="105">
        <v>466</v>
      </c>
      <c r="J50" s="104">
        <f>IF(I50&lt;210,0,IF(I50&gt;712,(200+I50-712),VLOOKUP(I50,baza!$B$3:$F$202,5,1)))</f>
        <v>63</v>
      </c>
      <c r="K50" s="106">
        <v>323.23</v>
      </c>
      <c r="L50" s="104">
        <f>IF(K50="",0,IF(K50&gt;(-1*baza!$D$3),0,IF(K50&lt;232.3,INT(200+(232.3-K50)*3),VLOOKUP(-K50,baza!$D$1:$F$203,3,1))))</f>
        <v>63</v>
      </c>
      <c r="M50" s="107">
        <f t="shared" ref="M50:M55" si="12">(D50+F50+H50+J50)</f>
        <v>177</v>
      </c>
      <c r="N50" s="108">
        <f t="shared" ref="N50:N55" si="13">M50+L50</f>
        <v>240</v>
      </c>
      <c r="O50" s="14"/>
      <c r="P50" s="9"/>
    </row>
    <row r="51" spans="1:16" ht="18" thickTop="1" thickBot="1">
      <c r="A51" s="30" t="str">
        <f>O54 &amp;"  " &amp;"I dzień"</f>
        <v>911  I dzień</v>
      </c>
      <c r="B51" s="114" t="str">
        <f>szkoły!C12</f>
        <v>Mirecki Mateusz</v>
      </c>
      <c r="C51" s="103">
        <v>9.3699999999999992</v>
      </c>
      <c r="D51" s="104">
        <f>IF(C51&gt;="",0,IF(C51&gt;=11.61,0,IF(C51&lt;6.91,(200+(6.91-C51)*100),VLOOKUP(-C51,baza!$E:$F,2,1))))</f>
        <v>42</v>
      </c>
      <c r="E51" s="103">
        <v>41</v>
      </c>
      <c r="F51" s="104">
        <f>IF(E51&lt;18,0,IF(E51&gt;104,(200+(E51-104)*4),VLOOKUP(E51,baza!$C$3:$F$202,4,1)))</f>
        <v>47</v>
      </c>
      <c r="G51" s="105"/>
      <c r="H51" s="104">
        <f>IF(G51&lt;baza!$I$202,0,IF(G51&gt;baza!$I$3,(200+(G51-206)*2),VLOOKUP(G51,baza!$I:$J,2,0)))</f>
        <v>0</v>
      </c>
      <c r="I51" s="105">
        <v>453</v>
      </c>
      <c r="J51" s="104">
        <f>IF(I51&lt;210,0,IF(I51&gt;712,(200+I51-712),VLOOKUP(I51,baza!$B$3:$F$202,5,1)))</f>
        <v>58</v>
      </c>
      <c r="K51" s="106">
        <v>314.75</v>
      </c>
      <c r="L51" s="104">
        <f>IF(K51="",0,IF(K51&gt;(-1*baza!$D$3),0,IF(K51&lt;232.3,INT(200+(232.3-K51)*3),VLOOKUP(-K51,baza!$D$1:$F$203,3,1))))</f>
        <v>74</v>
      </c>
      <c r="M51" s="107">
        <f t="shared" si="12"/>
        <v>147</v>
      </c>
      <c r="N51" s="108">
        <f t="shared" si="13"/>
        <v>221</v>
      </c>
      <c r="O51" s="14"/>
      <c r="P51" s="9"/>
    </row>
    <row r="52" spans="1:16" ht="18" thickTop="1" thickBot="1">
      <c r="A52" s="30" t="str">
        <f>O55 &amp;"  " &amp;"II dzień"</f>
        <v>1079  II dzień</v>
      </c>
      <c r="B52" s="114" t="str">
        <f>szkoły!C13</f>
        <v>Porębski Jakub</v>
      </c>
      <c r="C52" s="103">
        <v>9.52</v>
      </c>
      <c r="D52" s="104">
        <f>IF(C52&gt;="",0,IF(C52&gt;=11.61,0,IF(C52&lt;6.91,(200+(6.91-C52)*100),VLOOKUP(-C52,baza!$E:$F,2,1))))</f>
        <v>38</v>
      </c>
      <c r="E52" s="103">
        <v>42.5</v>
      </c>
      <c r="F52" s="104">
        <f>IF(E52&lt;18,0,IF(E52&gt;104,(200+(E52-104)*4),VLOOKUP(E52,baza!$C$3:$F$202,4,1)))</f>
        <v>50</v>
      </c>
      <c r="G52" s="105"/>
      <c r="H52" s="104">
        <f>IF(G52&lt;baza!$I$202,0,IF(G52&gt;baza!$I$3,(200+(G52-206)*2),VLOOKUP(G52,baza!$I:$J,2,0)))</f>
        <v>0</v>
      </c>
      <c r="I52" s="105">
        <v>418</v>
      </c>
      <c r="J52" s="104">
        <f>IF(I52&lt;210,0,IF(I52&gt;712,(200+I52-712),VLOOKUP(I52,baza!$B$3:$F$202,5,1)))</f>
        <v>47</v>
      </c>
      <c r="K52" s="106">
        <v>344.95</v>
      </c>
      <c r="L52" s="104">
        <f>IF(K52="",0,IF(K52&gt;(-1*baza!$D$3),0,IF(K52&lt;232.3,INT(200+(232.3-K52)*3),VLOOKUP(-K52,baza!$D$1:$F$203,3,1))))</f>
        <v>39</v>
      </c>
      <c r="M52" s="107">
        <f t="shared" si="12"/>
        <v>135</v>
      </c>
      <c r="N52" s="108">
        <f t="shared" si="13"/>
        <v>174</v>
      </c>
      <c r="O52" s="14"/>
      <c r="P52" s="9"/>
    </row>
    <row r="53" spans="1:16" ht="18" thickTop="1" thickBot="1">
      <c r="A53" s="7"/>
      <c r="B53" s="114" t="str">
        <f>szkoły!C14</f>
        <v>Tuczyński Aleksander</v>
      </c>
      <c r="C53" s="103">
        <v>8.7799999999999994</v>
      </c>
      <c r="D53" s="104">
        <f>IF(C53&gt;="",0,IF(C53&gt;=11.61,0,IF(C53&lt;6.91,(200+(6.91-C53)*100),VLOOKUP(-C53,baza!$E:$F,2,1))))</f>
        <v>62</v>
      </c>
      <c r="E53" s="103">
        <v>37</v>
      </c>
      <c r="F53" s="104">
        <f>IF(E53&lt;18,0,IF(E53&gt;104,(200+(E53-104)*4),VLOOKUP(E53,baza!$C$3:$F$202,4,1)))</f>
        <v>39</v>
      </c>
      <c r="G53" s="105"/>
      <c r="H53" s="104">
        <f>IF(G53&lt;baza!$I$202,0,IF(G53&gt;baza!$I$3,(200+(G53-206)*2),VLOOKUP(G53,baza!$I:$J,2,0)))</f>
        <v>0</v>
      </c>
      <c r="I53" s="105">
        <v>503</v>
      </c>
      <c r="J53" s="104">
        <f>IF(I53&lt;210,0,IF(I53&gt;712,(200+I53-712),VLOOKUP(I53,baza!$B$3:$F$202,5,1)))</f>
        <v>75</v>
      </c>
      <c r="K53" s="106">
        <v>338</v>
      </c>
      <c r="L53" s="104">
        <f>IF(K53="",0,IF(K53&gt;(-1*baza!$D$3),0,IF(K53&lt;232.3,INT(200+(232.3-K53)*3),VLOOKUP(-K53,baza!$D$1:$F$203,3,1))))</f>
        <v>46</v>
      </c>
      <c r="M53" s="107">
        <f t="shared" si="12"/>
        <v>176</v>
      </c>
      <c r="N53" s="108">
        <f t="shared" si="13"/>
        <v>222</v>
      </c>
      <c r="O53" s="14"/>
      <c r="P53" s="9"/>
    </row>
    <row r="54" spans="1:16" ht="18" thickTop="1" thickBot="1">
      <c r="A54" s="7"/>
      <c r="B54" s="114" t="str">
        <f>szkoły!C15</f>
        <v>Zawadzki Szymon</v>
      </c>
      <c r="C54" s="103">
        <v>9.2899999999999991</v>
      </c>
      <c r="D54" s="104">
        <f>IF(C54&gt;="",0,IF(C54&gt;=11.61,0,IF(C54&lt;6.91,(200+(6.91-C54)*100),VLOOKUP(-C54,baza!$E:$F,2,1))))</f>
        <v>45</v>
      </c>
      <c r="E54" s="103">
        <v>41.5</v>
      </c>
      <c r="F54" s="104">
        <f>IF(E54&lt;18,0,IF(E54&gt;104,(200+(E54-104)*4),VLOOKUP(E54,baza!$C$3:$F$202,4,1)))</f>
        <v>48</v>
      </c>
      <c r="G54" s="105"/>
      <c r="H54" s="104">
        <f>IF(G54&lt;baza!$I$202,0,IF(G54&gt;baza!$I$3,(200+(G54-206)*2),VLOOKUP(G54,baza!$I:$J,2,0)))</f>
        <v>0</v>
      </c>
      <c r="I54" s="105">
        <v>442</v>
      </c>
      <c r="J54" s="104">
        <f>IF(I54&lt;210,0,IF(I54&gt;712,(200+I54-712),VLOOKUP(I54,baza!$B$3:$F$202,5,1)))</f>
        <v>55</v>
      </c>
      <c r="K54" s="106">
        <v>331.89</v>
      </c>
      <c r="L54" s="104">
        <f>IF(K54="",0,IF(K54&gt;(-1*baza!$D$3),0,IF(K54&lt;232.3,INT(200+(232.3-K54)*3),VLOOKUP(-K54,baza!$D$1:$F$203,3,1))))</f>
        <v>52</v>
      </c>
      <c r="M54" s="107">
        <f t="shared" si="12"/>
        <v>148</v>
      </c>
      <c r="N54" s="108">
        <f t="shared" si="13"/>
        <v>200</v>
      </c>
      <c r="O54" s="15">
        <f>SUM(M50:M55)</f>
        <v>911</v>
      </c>
      <c r="P54" s="8" t="s">
        <v>9</v>
      </c>
    </row>
    <row r="55" spans="1:16" ht="18" thickTop="1" thickBot="1">
      <c r="A55" s="7"/>
      <c r="B55" s="114" t="str">
        <f>szkoły!C16</f>
        <v>Zieniewicz Franciszek</v>
      </c>
      <c r="C55" s="103">
        <v>9.1</v>
      </c>
      <c r="D55" s="104">
        <f>IF(C55&gt;="",0,IF(C55&gt;=11.61,0,IF(C55&lt;6.91,(200+(6.91-C55)*100),VLOOKUP(-C55,baza!$E:$F,2,1))))</f>
        <v>51</v>
      </c>
      <c r="E55" s="103">
        <v>35</v>
      </c>
      <c r="F55" s="104">
        <f>IF(E55&lt;18,0,IF(E55&gt;104,(200+(E55-104)*4),VLOOKUP(E55,baza!$C$3:$F$202,4,1)))</f>
        <v>35</v>
      </c>
      <c r="G55" s="105"/>
      <c r="H55" s="104">
        <f>IF(G55&lt;baza!$I$202,0,IF(G55&gt;baza!$I$3,(200+(G55-206)*2),VLOOKUP(G55,baza!$I:$J,2,0)))</f>
        <v>0</v>
      </c>
      <c r="I55" s="105">
        <v>404</v>
      </c>
      <c r="J55" s="104">
        <f>IF(I55&lt;210,0,IF(I55&gt;712,(200+I55-712),VLOOKUP(I55,baza!$B$3:$F$202,5,1)))</f>
        <v>42</v>
      </c>
      <c r="K55" s="106">
        <v>319.14</v>
      </c>
      <c r="L55" s="104">
        <f>IF(K55="",0,IF(K55&gt;(-1*baza!$D$3),0,IF(K55&lt;232.3,INT(200+(232.3-K55)*3),VLOOKUP(-K55,baza!$D$1:$F$203,3,1))))</f>
        <v>68</v>
      </c>
      <c r="M55" s="107">
        <f t="shared" si="12"/>
        <v>128</v>
      </c>
      <c r="N55" s="108">
        <f t="shared" si="13"/>
        <v>196</v>
      </c>
      <c r="O55" s="15">
        <f>IF(COUNT(N50:N55)&lt;6,SUM(N50:N55),SUM(N50:N55)-MIN(N50:N55))</f>
        <v>1079</v>
      </c>
      <c r="P55" s="8" t="s">
        <v>11</v>
      </c>
    </row>
    <row r="56" spans="1:16" ht="16.5" thickTop="1" thickBot="1">
      <c r="A56" s="13" t="str">
        <f>szkoły!D10</f>
        <v>SP Zielonki Parcela</v>
      </c>
      <c r="B56" s="113" t="s">
        <v>6</v>
      </c>
      <c r="C56" s="25" t="s">
        <v>3</v>
      </c>
      <c r="D56" s="27" t="s">
        <v>7</v>
      </c>
      <c r="E56" s="28" t="s">
        <v>8</v>
      </c>
      <c r="F56" s="27" t="s">
        <v>7</v>
      </c>
      <c r="G56" s="27" t="s">
        <v>5</v>
      </c>
      <c r="H56" s="27" t="s">
        <v>7</v>
      </c>
      <c r="I56" s="27" t="s">
        <v>0</v>
      </c>
      <c r="J56" s="27" t="s">
        <v>7</v>
      </c>
      <c r="K56" s="29" t="s">
        <v>2</v>
      </c>
      <c r="L56" s="27" t="s">
        <v>7</v>
      </c>
      <c r="M56" s="26" t="s">
        <v>9</v>
      </c>
      <c r="N56" s="26" t="s">
        <v>10</v>
      </c>
      <c r="O56" s="14"/>
      <c r="P56" s="9"/>
    </row>
    <row r="57" spans="1:16" ht="18" thickTop="1" thickBot="1">
      <c r="A57" s="10"/>
      <c r="B57" s="114" t="str">
        <f>szkoły!D11</f>
        <v>Cisek Mikołaj</v>
      </c>
      <c r="C57" s="103">
        <v>9.34</v>
      </c>
      <c r="D57" s="104">
        <f>IF(C57&gt;="",0,IF(C57&gt;=11.61,0,IF(C57&lt;6.91,(200+(6.91-C57)*100),VLOOKUP(-C57,baza!$E:$F,2,1))))</f>
        <v>43</v>
      </c>
      <c r="E57" s="103">
        <v>46.5</v>
      </c>
      <c r="F57" s="104">
        <f>IF(E57&lt;18,0,IF(E57&gt;104,(200+(E57-104)*4),VLOOKUP(E57,baza!$C$3:$F$202,4,1)))</f>
        <v>58</v>
      </c>
      <c r="G57" s="105"/>
      <c r="H57" s="104">
        <f>IF(G57&lt;baza!$I$202,0,IF(G57&gt;baza!$I$3,(200+(G57-206)*2),VLOOKUP(G57,baza!$I:$J,2,0)))</f>
        <v>0</v>
      </c>
      <c r="I57" s="105">
        <v>407</v>
      </c>
      <c r="J57" s="104">
        <f>IF(I57&lt;210,0,IF(I57&gt;712,(200+I57-712),VLOOKUP(I57,baza!$B$3:$F$202,5,1)))</f>
        <v>43</v>
      </c>
      <c r="K57" s="106">
        <v>403.98</v>
      </c>
      <c r="L57" s="104">
        <f>IF(K57="",0,IF(K57&gt;(-1*baza!$D$3),0,IF(K57&lt;232.3,INT(200+(232.3-K57)*3),VLOOKUP(-K57,baza!$D$1:$F$203,3,1))))</f>
        <v>22</v>
      </c>
      <c r="M57" s="107">
        <f t="shared" ref="M57:M62" si="14">(D57+F57+H57+J57)</f>
        <v>144</v>
      </c>
      <c r="N57" s="108">
        <f t="shared" ref="N57:N62" si="15">M57+L57</f>
        <v>166</v>
      </c>
      <c r="O57" s="14"/>
      <c r="P57" s="9"/>
    </row>
    <row r="58" spans="1:16" ht="18" thickTop="1" thickBot="1">
      <c r="A58" s="30" t="str">
        <f>O61 &amp;"  " &amp;"I dzień"</f>
        <v>974  I dzień</v>
      </c>
      <c r="B58" s="114" t="str">
        <f>szkoły!D12</f>
        <v>Dyszkowski Mateusz</v>
      </c>
      <c r="C58" s="103">
        <v>9.64</v>
      </c>
      <c r="D58" s="104">
        <f>IF(C58&gt;="",0,IF(C58&gt;=11.61,0,IF(C58&lt;6.91,(200+(6.91-C58)*100),VLOOKUP(-C58,baza!$E:$F,2,1))))</f>
        <v>35</v>
      </c>
      <c r="E58" s="103">
        <v>41.5</v>
      </c>
      <c r="F58" s="104">
        <f>IF(E58&lt;18,0,IF(E58&gt;104,(200+(E58-104)*4),VLOOKUP(E58,baza!$C$3:$F$202,4,1)))</f>
        <v>48</v>
      </c>
      <c r="G58" s="105"/>
      <c r="H58" s="104">
        <f>IF(G58&lt;baza!$I$202,0,IF(G58&gt;baza!$I$3,(200+(G58-206)*2),VLOOKUP(G58,baza!$I:$J,2,0)))</f>
        <v>0</v>
      </c>
      <c r="I58" s="105">
        <v>435</v>
      </c>
      <c r="J58" s="104">
        <f>IF(I58&lt;210,0,IF(I58&gt;712,(200+I58-712),VLOOKUP(I58,baza!$B$3:$F$202,5,1)))</f>
        <v>52</v>
      </c>
      <c r="K58" s="106">
        <v>336.89</v>
      </c>
      <c r="L58" s="104">
        <f>IF(K58="",0,IF(K58&gt;(-1*baza!$D$3),0,IF(K58&lt;232.3,INT(200+(232.3-K58)*3),VLOOKUP(-K58,baza!$D$1:$F$203,3,1))))</f>
        <v>47</v>
      </c>
      <c r="M58" s="107">
        <f t="shared" si="14"/>
        <v>135</v>
      </c>
      <c r="N58" s="108">
        <f t="shared" si="15"/>
        <v>182</v>
      </c>
      <c r="O58" s="14"/>
      <c r="P58" s="9"/>
    </row>
    <row r="59" spans="1:16" ht="18" thickTop="1" thickBot="1">
      <c r="A59" s="30" t="str">
        <f>O62 &amp;"  " &amp;"II dzień"</f>
        <v>1054  II dzień</v>
      </c>
      <c r="B59" s="114" t="str">
        <f>szkoły!D13</f>
        <v>Kowalski Tymoteusz</v>
      </c>
      <c r="C59" s="103">
        <v>9.81</v>
      </c>
      <c r="D59" s="104">
        <f>IF(C59&gt;="",0,IF(C59&gt;=11.61,0,IF(C59&lt;6.91,(200+(6.91-C59)*100),VLOOKUP(-C59,baza!$E:$F,2,1))))</f>
        <v>31</v>
      </c>
      <c r="E59" s="103">
        <v>33</v>
      </c>
      <c r="F59" s="104">
        <f>IF(E59&lt;18,0,IF(E59&gt;104,(200+(E59-104)*4),VLOOKUP(E59,baza!$C$3:$F$202,4,1)))</f>
        <v>31</v>
      </c>
      <c r="G59" s="105"/>
      <c r="H59" s="104">
        <f>IF(G59&lt;baza!$I$202,0,IF(G59&gt;baza!$I$3,(200+(G59-206)*2),VLOOKUP(G59,baza!$I:$J,2,0)))</f>
        <v>0</v>
      </c>
      <c r="I59" s="105">
        <v>416</v>
      </c>
      <c r="J59" s="104">
        <f>IF(I59&lt;210,0,IF(I59&gt;712,(200+I59-712),VLOOKUP(I59,baza!$B$3:$F$202,5,1)))</f>
        <v>46</v>
      </c>
      <c r="K59" s="106">
        <v>358.03</v>
      </c>
      <c r="L59" s="104">
        <f>IF(K59="",0,IF(K59&gt;(-1*baza!$D$3),0,IF(K59&lt;232.3,INT(200+(232.3-K59)*3),VLOOKUP(-K59,baza!$D$1:$F$203,3,1))))</f>
        <v>27</v>
      </c>
      <c r="M59" s="107">
        <f t="shared" si="14"/>
        <v>108</v>
      </c>
      <c r="N59" s="108">
        <f t="shared" si="15"/>
        <v>135</v>
      </c>
      <c r="O59" s="14"/>
      <c r="P59" s="9"/>
    </row>
    <row r="60" spans="1:16" ht="18" thickTop="1" thickBot="1">
      <c r="A60" s="10"/>
      <c r="B60" s="114" t="str">
        <f>szkoły!D14</f>
        <v>Sołomski Oliwier</v>
      </c>
      <c r="C60" s="103">
        <v>8.3000000000000007</v>
      </c>
      <c r="D60" s="104">
        <f>IF(C60&gt;="",0,IF(C60&gt;=11.61,0,IF(C60&lt;6.91,(200+(6.91-C60)*100),VLOOKUP(-C60,baza!$E:$F,2,1))))</f>
        <v>80</v>
      </c>
      <c r="E60" s="103">
        <v>58</v>
      </c>
      <c r="F60" s="104">
        <f>IF(E60&lt;18,0,IF(E60&gt;104,(200+(E60-104)*4),VLOOKUP(E60,baza!$C$3:$F$202,4,1)))</f>
        <v>81</v>
      </c>
      <c r="G60" s="105"/>
      <c r="H60" s="104">
        <f>IF(G60&lt;baza!$I$202,0,IF(G60&gt;baza!$I$3,(200+(G60-206)*2),VLOOKUP(G60,baza!$I:$J,2,0)))</f>
        <v>0</v>
      </c>
      <c r="I60" s="105">
        <v>538</v>
      </c>
      <c r="J60" s="104">
        <f>IF(I60&lt;210,0,IF(I60&gt;712,(200+I60-712),VLOOKUP(I60,baza!$B$3:$F$202,5,1)))</f>
        <v>89</v>
      </c>
      <c r="K60" s="106">
        <v>346.38</v>
      </c>
      <c r="L60" s="104">
        <f>IF(K60="",0,IF(K60&gt;(-1*baza!$D$3),0,IF(K60&lt;232.3,INT(200+(232.3-K60)*3),VLOOKUP(-K60,baza!$D$1:$F$203,3,1))))</f>
        <v>37</v>
      </c>
      <c r="M60" s="107">
        <f t="shared" si="14"/>
        <v>250</v>
      </c>
      <c r="N60" s="108">
        <f t="shared" si="15"/>
        <v>287</v>
      </c>
      <c r="O60" s="14"/>
      <c r="P60" s="9"/>
    </row>
    <row r="61" spans="1:16" ht="18" thickTop="1" thickBot="1">
      <c r="A61" s="10"/>
      <c r="B61" s="114" t="str">
        <f>szkoły!D15</f>
        <v>Stepień Wojciech</v>
      </c>
      <c r="C61" s="103">
        <v>8.91</v>
      </c>
      <c r="D61" s="104">
        <f>IF(C61&gt;="",0,IF(C61&gt;=11.61,0,IF(C61&lt;6.91,(200+(6.91-C61)*100),VLOOKUP(-C61,baza!$E:$F,2,1))))</f>
        <v>57</v>
      </c>
      <c r="E61" s="103">
        <v>45</v>
      </c>
      <c r="F61" s="104">
        <f>IF(E61&lt;18,0,IF(E61&gt;104,(200+(E61-104)*4),VLOOKUP(E61,baza!$C$3:$F$202,4,1)))</f>
        <v>55</v>
      </c>
      <c r="G61" s="105"/>
      <c r="H61" s="104">
        <f>IF(G61&lt;baza!$I$202,0,IF(G61&gt;baza!$I$3,(200+(G61-206)*2),VLOOKUP(G61,baza!$I:$J,2,0)))</f>
        <v>0</v>
      </c>
      <c r="I61" s="105">
        <v>423</v>
      </c>
      <c r="J61" s="104">
        <f>IF(I61&lt;210,0,IF(I61&gt;712,(200+I61-712),VLOOKUP(I61,baza!$B$3:$F$202,5,1)))</f>
        <v>48</v>
      </c>
      <c r="K61" s="106">
        <v>403.76</v>
      </c>
      <c r="L61" s="104">
        <f>IF(K61="",0,IF(K61&gt;(-1*baza!$D$3),0,IF(K61&lt;232.3,INT(200+(232.3-K61)*3),VLOOKUP(-K61,baza!$D$1:$F$203,3,1))))</f>
        <v>23</v>
      </c>
      <c r="M61" s="107">
        <f t="shared" si="14"/>
        <v>160</v>
      </c>
      <c r="N61" s="108">
        <f t="shared" si="15"/>
        <v>183</v>
      </c>
      <c r="O61" s="15">
        <f>SUM(M57:M62)</f>
        <v>974</v>
      </c>
      <c r="P61" s="8" t="s">
        <v>9</v>
      </c>
    </row>
    <row r="62" spans="1:16" ht="18" thickTop="1" thickBot="1">
      <c r="A62" s="10"/>
      <c r="B62" s="114" t="str">
        <f>szkoły!D16</f>
        <v>Wójcicki Maciej</v>
      </c>
      <c r="C62" s="103">
        <v>8.7200000000000006</v>
      </c>
      <c r="D62" s="104">
        <f>IF(C62&gt;="",0,IF(C62&gt;=11.61,0,IF(C62&lt;6.91,(200+(6.91-C62)*100),VLOOKUP(-C62,baza!$E:$F,2,1))))</f>
        <v>64</v>
      </c>
      <c r="E62" s="103">
        <v>44.5</v>
      </c>
      <c r="F62" s="104">
        <f>IF(E62&lt;18,0,IF(E62&gt;104,(200+(E62-104)*4),VLOOKUP(E62,baza!$C$3:$F$202,4,1)))</f>
        <v>54</v>
      </c>
      <c r="G62" s="105"/>
      <c r="H62" s="104">
        <f>IF(G62&lt;baza!$I$202,0,IF(G62&gt;baza!$I$3,(200+(G62-206)*2),VLOOKUP(G62,baza!$I:$J,2,0)))</f>
        <v>0</v>
      </c>
      <c r="I62" s="105">
        <v>455</v>
      </c>
      <c r="J62" s="104">
        <f>IF(I62&lt;210,0,IF(I62&gt;712,(200+I62-712),VLOOKUP(I62,baza!$B$3:$F$202,5,1)))</f>
        <v>59</v>
      </c>
      <c r="K62" s="106">
        <v>326.97000000000003</v>
      </c>
      <c r="L62" s="104">
        <f>IF(K62="",0,IF(K62&gt;(-1*baza!$D$3),0,IF(K62&lt;232.3,INT(200+(232.3-K62)*3),VLOOKUP(-K62,baza!$D$1:$F$203,3,1))))</f>
        <v>59</v>
      </c>
      <c r="M62" s="107">
        <f t="shared" si="14"/>
        <v>177</v>
      </c>
      <c r="N62" s="108">
        <f t="shared" si="15"/>
        <v>236</v>
      </c>
      <c r="O62" s="15">
        <f>IF(COUNT(N57:N62)&lt;6,SUM(N57:N62),SUM(N57:N62)-MIN(N57:N62))</f>
        <v>1054</v>
      </c>
      <c r="P62" s="8" t="s">
        <v>11</v>
      </c>
    </row>
    <row r="63" spans="1:16" ht="16.5" thickTop="1" thickBot="1">
      <c r="A63" s="13" t="str">
        <f>szkoły!A18</f>
        <v>SP154 Warszawa</v>
      </c>
      <c r="B63" s="113" t="s">
        <v>6</v>
      </c>
      <c r="C63" s="25" t="s">
        <v>3</v>
      </c>
      <c r="D63" s="27" t="s">
        <v>7</v>
      </c>
      <c r="E63" s="28" t="s">
        <v>8</v>
      </c>
      <c r="F63" s="27" t="s">
        <v>7</v>
      </c>
      <c r="G63" s="27" t="s">
        <v>5</v>
      </c>
      <c r="H63" s="27" t="s">
        <v>7</v>
      </c>
      <c r="I63" s="27" t="s">
        <v>0</v>
      </c>
      <c r="J63" s="27" t="s">
        <v>7</v>
      </c>
      <c r="K63" s="29" t="s">
        <v>2</v>
      </c>
      <c r="L63" s="27" t="s">
        <v>7</v>
      </c>
      <c r="M63" s="26" t="s">
        <v>9</v>
      </c>
      <c r="N63" s="26" t="s">
        <v>10</v>
      </c>
      <c r="O63" s="14"/>
      <c r="P63" s="9"/>
    </row>
    <row r="64" spans="1:16" ht="18" thickTop="1" thickBot="1">
      <c r="A64" s="7"/>
      <c r="B64" s="114" t="str">
        <f>szkoły!A19</f>
        <v>Bryczyński Maksymilian</v>
      </c>
      <c r="C64" s="103">
        <v>8.99</v>
      </c>
      <c r="D64" s="104">
        <f>IF(C64&gt;="",0,IF(C64&gt;=11.61,0,IF(C64&lt;6.91,(200+(6.91-C64)*100),VLOOKUP(-C64,baza!$E:$F,2,1))))</f>
        <v>55</v>
      </c>
      <c r="E64" s="103">
        <v>43</v>
      </c>
      <c r="F64" s="104">
        <f>IF(E64&lt;18,0,IF(E64&gt;104,(200+(E64-104)*4),VLOOKUP(E64,baza!$C$3:$F$202,4,1)))</f>
        <v>51</v>
      </c>
      <c r="G64" s="105"/>
      <c r="H64" s="104">
        <f>IF(G64&lt;baza!$I$202,0,IF(G64&gt;baza!$I$3,(200+(G64-206)*2),VLOOKUP(G64,baza!$I:$J,2,0)))</f>
        <v>0</v>
      </c>
      <c r="I64" s="105">
        <v>447</v>
      </c>
      <c r="J64" s="104">
        <f>IF(I64&lt;210,0,IF(I64&gt;712,(200+I64-712),VLOOKUP(I64,baza!$B$3:$F$202,5,1)))</f>
        <v>56</v>
      </c>
      <c r="K64" s="106">
        <v>351.6</v>
      </c>
      <c r="L64" s="104">
        <f>IF(K64="",0,IF(K64&gt;(-1*baza!$D$3),0,IF(K64&lt;232.3,INT(200+(232.3-K64)*3),VLOOKUP(-K64,baza!$D$1:$F$203,3,1))))</f>
        <v>33</v>
      </c>
      <c r="M64" s="107">
        <f t="shared" ref="M64:M69" si="16">(D64+F64+H64+J64)</f>
        <v>162</v>
      </c>
      <c r="N64" s="108">
        <f t="shared" ref="N64:N69" si="17">M64+L64</f>
        <v>195</v>
      </c>
      <c r="O64" s="14"/>
      <c r="P64" s="9"/>
    </row>
    <row r="65" spans="1:16" ht="18" thickTop="1" thickBot="1">
      <c r="A65" s="30" t="str">
        <f>O68 &amp;"  " &amp;"I dzień"</f>
        <v>968  I dzień</v>
      </c>
      <c r="B65" s="114" t="str">
        <f>szkoły!A20</f>
        <v>Dąbrowski Franciszek</v>
      </c>
      <c r="C65" s="103">
        <v>9.66</v>
      </c>
      <c r="D65" s="104">
        <f>IF(C65&gt;="",0,IF(C65&gt;=11.61,0,IF(C65&lt;6.91,(200+(6.91-C65)*100),VLOOKUP(-C65,baza!$E:$F,2,1))))</f>
        <v>35</v>
      </c>
      <c r="E65" s="103">
        <v>35</v>
      </c>
      <c r="F65" s="104">
        <f>IF(E65&lt;18,0,IF(E65&gt;104,(200+(E65-104)*4),VLOOKUP(E65,baza!$C$3:$F$202,4,1)))</f>
        <v>35</v>
      </c>
      <c r="G65" s="105"/>
      <c r="H65" s="104">
        <f>IF(G65&lt;baza!$I$202,0,IF(G65&gt;baza!$I$3,(200+(G65-206)*2),VLOOKUP(G65,baza!$I:$J,2,0)))</f>
        <v>0</v>
      </c>
      <c r="I65" s="105">
        <v>414</v>
      </c>
      <c r="J65" s="104">
        <f>IF(I65&lt;210,0,IF(I65&gt;712,(200+I65-712),VLOOKUP(I65,baza!$B$3:$F$202,5,1)))</f>
        <v>45</v>
      </c>
      <c r="K65" s="106">
        <v>320.62</v>
      </c>
      <c r="L65" s="104">
        <f>IF(K65="",0,IF(K65&gt;(-1*baza!$D$3),0,IF(K65&lt;232.3,INT(200+(232.3-K65)*3),VLOOKUP(-K65,baza!$D$1:$F$203,3,1))))</f>
        <v>67</v>
      </c>
      <c r="M65" s="107">
        <f t="shared" si="16"/>
        <v>115</v>
      </c>
      <c r="N65" s="108">
        <f t="shared" si="17"/>
        <v>182</v>
      </c>
      <c r="O65" s="14"/>
      <c r="P65" s="9"/>
    </row>
    <row r="66" spans="1:16" ht="18" thickTop="1" thickBot="1">
      <c r="A66" s="30" t="str">
        <f>O69 &amp;"  " &amp;"II dzień"</f>
        <v>1121  II dzień</v>
      </c>
      <c r="B66" s="114" t="str">
        <f>szkoły!A21</f>
        <v>Kałęcki Bartosz</v>
      </c>
      <c r="C66" s="103">
        <v>8.43</v>
      </c>
      <c r="D66" s="104">
        <f>IF(C66&gt;="",0,IF(C66&gt;=11.61,0,IF(C66&lt;6.91,(200+(6.91-C66)*100),VLOOKUP(-C66,baza!$E:$F,2,1))))</f>
        <v>74</v>
      </c>
      <c r="E66" s="103">
        <v>44</v>
      </c>
      <c r="F66" s="104">
        <f>IF(E66&lt;18,0,IF(E66&gt;104,(200+(E66-104)*4),VLOOKUP(E66,baza!$C$3:$F$202,4,1)))</f>
        <v>53</v>
      </c>
      <c r="G66" s="105"/>
      <c r="H66" s="104">
        <f>IF(G66&lt;baza!$I$202,0,IF(G66&gt;baza!$I$3,(200+(G66-206)*2),VLOOKUP(G66,baza!$I:$J,2,0)))</f>
        <v>0</v>
      </c>
      <c r="I66" s="105">
        <v>547</v>
      </c>
      <c r="J66" s="104">
        <f>IF(I66&lt;210,0,IF(I66&gt;712,(200+I66-712),VLOOKUP(I66,baza!$B$3:$F$202,5,1)))</f>
        <v>93</v>
      </c>
      <c r="K66" s="106">
        <v>307.52999999999997</v>
      </c>
      <c r="L66" s="104">
        <f>IF(K66="",0,IF(K66&gt;(-1*baza!$D$3),0,IF(K66&lt;232.3,INT(200+(232.3-K66)*3),VLOOKUP(-K66,baza!$D$1:$F$203,3,1))))</f>
        <v>83</v>
      </c>
      <c r="M66" s="107">
        <f t="shared" si="16"/>
        <v>220</v>
      </c>
      <c r="N66" s="108">
        <f t="shared" si="17"/>
        <v>303</v>
      </c>
      <c r="O66" s="14"/>
      <c r="P66" s="9"/>
    </row>
    <row r="67" spans="1:16" ht="18" thickTop="1" thickBot="1">
      <c r="A67" s="7"/>
      <c r="B67" s="114" t="str">
        <f>szkoły!A22</f>
        <v>Staszkiewicz Michał</v>
      </c>
      <c r="C67" s="103">
        <v>9.02</v>
      </c>
      <c r="D67" s="104">
        <f>IF(C67&gt;="",0,IF(C67&gt;=11.61,0,IF(C67&lt;6.91,(200+(6.91-C67)*100),VLOOKUP(-C67,baza!$E:$F,2,1))))</f>
        <v>54</v>
      </c>
      <c r="E67" s="103">
        <v>38</v>
      </c>
      <c r="F67" s="104">
        <f>IF(E67&lt;18,0,IF(E67&gt;104,(200+(E67-104)*4),VLOOKUP(E67,baza!$C$3:$F$202,4,1)))</f>
        <v>41</v>
      </c>
      <c r="G67" s="105"/>
      <c r="H67" s="104">
        <f>IF(G67&lt;baza!$I$202,0,IF(G67&gt;baza!$I$3,(200+(G67-206)*2),VLOOKUP(G67,baza!$I:$J,2,0)))</f>
        <v>0</v>
      </c>
      <c r="I67" s="105">
        <v>477</v>
      </c>
      <c r="J67" s="104">
        <f>IF(I67&lt;210,0,IF(I67&gt;712,(200+I67-712),VLOOKUP(I67,baza!$B$3:$F$202,5,1)))</f>
        <v>66</v>
      </c>
      <c r="K67" s="106">
        <v>344.04</v>
      </c>
      <c r="L67" s="104">
        <f>IF(K67="",0,IF(K67&gt;(-1*baza!$D$3),0,IF(K67&lt;232.3,INT(200+(232.3-K67)*3),VLOOKUP(-K67,baza!$D$1:$F$203,3,1))))</f>
        <v>40</v>
      </c>
      <c r="M67" s="107">
        <f t="shared" si="16"/>
        <v>161</v>
      </c>
      <c r="N67" s="108">
        <f t="shared" si="17"/>
        <v>201</v>
      </c>
      <c r="O67" s="14"/>
      <c r="P67" s="9"/>
    </row>
    <row r="68" spans="1:16" ht="18" thickTop="1" thickBot="1">
      <c r="A68" s="7"/>
      <c r="B68" s="114" t="str">
        <f>szkoły!A23</f>
        <v>Tomiczak Jan</v>
      </c>
      <c r="C68" s="103">
        <v>8.58</v>
      </c>
      <c r="D68" s="104">
        <f>IF(C68&gt;="",0,IF(C68&gt;=11.61,0,IF(C68&lt;6.91,(200+(6.91-C68)*100),VLOOKUP(-C68,baza!$E:$F,2,1))))</f>
        <v>68</v>
      </c>
      <c r="E68" s="103">
        <v>37</v>
      </c>
      <c r="F68" s="104">
        <f>IF(E68&lt;18,0,IF(E68&gt;104,(200+(E68-104)*4),VLOOKUP(E68,baza!$C$3:$F$202,4,1)))</f>
        <v>39</v>
      </c>
      <c r="G68" s="105"/>
      <c r="H68" s="104">
        <f>IF(G68&lt;baza!$I$202,0,IF(G68&gt;baza!$I$3,(200+(G68-206)*2),VLOOKUP(G68,baza!$I:$J,2,0)))</f>
        <v>0</v>
      </c>
      <c r="I68" s="105">
        <v>490</v>
      </c>
      <c r="J68" s="104">
        <f>IF(I68&lt;210,0,IF(I68&gt;712,(200+I68-712),VLOOKUP(I68,baza!$B$3:$F$202,5,1)))</f>
        <v>71</v>
      </c>
      <c r="K68" s="106">
        <v>325.19</v>
      </c>
      <c r="L68" s="104">
        <f>IF(K68="",0,IF(K68&gt;(-1*baza!$D$3),0,IF(K68&lt;232.3,INT(200+(232.3-K68)*3),VLOOKUP(-K68,baza!$D$1:$F$203,3,1))))</f>
        <v>61</v>
      </c>
      <c r="M68" s="107">
        <f t="shared" si="16"/>
        <v>178</v>
      </c>
      <c r="N68" s="108">
        <f t="shared" si="17"/>
        <v>239</v>
      </c>
      <c r="O68" s="15">
        <f>SUM(M64:M69)</f>
        <v>968</v>
      </c>
      <c r="P68" s="8" t="s">
        <v>9</v>
      </c>
    </row>
    <row r="69" spans="1:16" ht="18" thickTop="1" thickBot="1">
      <c r="A69" s="7"/>
      <c r="B69" s="114" t="str">
        <f>szkoły!A24</f>
        <v>Zaniemcha Nikodem</v>
      </c>
      <c r="C69" s="103">
        <v>9.19</v>
      </c>
      <c r="D69" s="104">
        <f>IF(C69&gt;="",0,IF(C69&gt;=11.61,0,IF(C69&lt;6.91,(200+(6.91-C69)*100),VLOOKUP(-C69,baza!$E:$F,2,1))))</f>
        <v>48</v>
      </c>
      <c r="E69" s="103">
        <v>34</v>
      </c>
      <c r="F69" s="104">
        <f>IF(E69&lt;18,0,IF(E69&gt;104,(200+(E69-104)*4),VLOOKUP(E69,baza!$C$3:$F$202,4,1)))</f>
        <v>33</v>
      </c>
      <c r="G69" s="105"/>
      <c r="H69" s="104">
        <f>IF(G69&lt;baza!$I$202,0,IF(G69&gt;baza!$I$3,(200+(G69-206)*2),VLOOKUP(G69,baza!$I:$J,2,0)))</f>
        <v>0</v>
      </c>
      <c r="I69" s="105">
        <v>432</v>
      </c>
      <c r="J69" s="104">
        <f>IF(I69&lt;210,0,IF(I69&gt;712,(200+I69-712),VLOOKUP(I69,baza!$B$3:$F$202,5,1)))</f>
        <v>51</v>
      </c>
      <c r="K69" s="106">
        <v>333.13</v>
      </c>
      <c r="L69" s="104">
        <f>IF(K69="",0,IF(K69&gt;(-1*baza!$D$3),0,IF(K69&lt;232.3,INT(200+(232.3-K69)*3),VLOOKUP(-K69,baza!$D$1:$F$203,3,1))))</f>
        <v>51</v>
      </c>
      <c r="M69" s="107">
        <f t="shared" si="16"/>
        <v>132</v>
      </c>
      <c r="N69" s="108">
        <f t="shared" si="17"/>
        <v>183</v>
      </c>
      <c r="O69" s="15">
        <f>IF(COUNT(N64:N69)&lt;6,SUM(N64:N69),SUM(N64:N69)-MIN(N64:N69))</f>
        <v>1121</v>
      </c>
      <c r="P69" s="8" t="s">
        <v>11</v>
      </c>
    </row>
    <row r="70" spans="1:16" ht="16.5" thickTop="1" thickBot="1">
      <c r="A70" s="13" t="str">
        <f>szkoły!B18</f>
        <v xml:space="preserve">SP Jednorożec </v>
      </c>
      <c r="B70" s="113" t="s">
        <v>6</v>
      </c>
      <c r="C70" s="25" t="s">
        <v>3</v>
      </c>
      <c r="D70" s="27" t="s">
        <v>7</v>
      </c>
      <c r="E70" s="28" t="s">
        <v>8</v>
      </c>
      <c r="F70" s="27" t="s">
        <v>7</v>
      </c>
      <c r="G70" s="27" t="s">
        <v>5</v>
      </c>
      <c r="H70" s="27" t="s">
        <v>7</v>
      </c>
      <c r="I70" s="27" t="s">
        <v>0</v>
      </c>
      <c r="J70" s="27" t="s">
        <v>7</v>
      </c>
      <c r="K70" s="29" t="s">
        <v>2</v>
      </c>
      <c r="L70" s="27" t="s">
        <v>7</v>
      </c>
      <c r="M70" s="26" t="s">
        <v>9</v>
      </c>
      <c r="N70" s="26" t="s">
        <v>10</v>
      </c>
      <c r="O70" s="14"/>
      <c r="P70" s="9"/>
    </row>
    <row r="71" spans="1:16" ht="18" thickTop="1" thickBot="1">
      <c r="A71" s="10"/>
      <c r="B71" s="114" t="str">
        <f>szkoły!B19</f>
        <v>Antosiak Maciej</v>
      </c>
      <c r="C71" s="103">
        <v>9.25</v>
      </c>
      <c r="D71" s="104">
        <f>IF(C71&gt;="",0,IF(C71&gt;=11.61,0,IF(C71&lt;6.91,(200+(6.91-C71)*100),VLOOKUP(-C71,baza!$E:$F,2,1))))</f>
        <v>46</v>
      </c>
      <c r="E71" s="103">
        <v>40</v>
      </c>
      <c r="F71" s="104">
        <f>IF(E71&lt;18,0,IF(E71&gt;104,(200+(E71-104)*4),VLOOKUP(E71,baza!$C$3:$F$202,4,1)))</f>
        <v>45</v>
      </c>
      <c r="G71" s="105"/>
      <c r="H71" s="104">
        <f>IF(G71&lt;baza!$I$202,0,IF(G71&gt;baza!$I$3,(200+(G71-206)*2),VLOOKUP(G71,baza!$I:$J,2,0)))</f>
        <v>0</v>
      </c>
      <c r="I71" s="105">
        <v>447</v>
      </c>
      <c r="J71" s="104">
        <f>IF(I71&lt;210,0,IF(I71&gt;712,(200+I71-712),VLOOKUP(I71,baza!$B$3:$F$202,5,1)))</f>
        <v>56</v>
      </c>
      <c r="K71" s="106">
        <v>419.68</v>
      </c>
      <c r="L71" s="104">
        <f>IF(K71="",0,IF(K71&gt;(-1*baza!$D$3),0,IF(K71&lt;232.3,INT(200+(232.3-K71)*3),VLOOKUP(-K71,baza!$D$1:$F$203,3,1))))</f>
        <v>11</v>
      </c>
      <c r="M71" s="107">
        <f t="shared" ref="M71:M76" si="18">(D71+F71+H71+J71)</f>
        <v>147</v>
      </c>
      <c r="N71" s="108">
        <f t="shared" ref="N71:N76" si="19">M71+L71</f>
        <v>158</v>
      </c>
      <c r="O71" s="14"/>
      <c r="P71" s="9"/>
    </row>
    <row r="72" spans="1:16" ht="18" thickTop="1" thickBot="1">
      <c r="A72" s="30" t="str">
        <f>O75 &amp;"  " &amp;"I dzień"</f>
        <v>808  I dzień</v>
      </c>
      <c r="B72" s="114" t="str">
        <f>szkoły!B20</f>
        <v>Bakuła Dawid</v>
      </c>
      <c r="C72" s="103">
        <v>9.1300000000000008</v>
      </c>
      <c r="D72" s="104">
        <f>IF(C72&gt;="",0,IF(C72&gt;=11.61,0,IF(C72&lt;6.91,(200+(6.91-C72)*100),VLOOKUP(-C72,baza!$E:$F,2,1))))</f>
        <v>50</v>
      </c>
      <c r="E72" s="103">
        <v>40</v>
      </c>
      <c r="F72" s="104">
        <f>IF(E72&lt;18,0,IF(E72&gt;104,(200+(E72-104)*4),VLOOKUP(E72,baza!$C$3:$F$202,4,1)))</f>
        <v>45</v>
      </c>
      <c r="G72" s="105"/>
      <c r="H72" s="104">
        <f>IF(G72&lt;baza!$I$202,0,IF(G72&gt;baza!$I$3,(200+(G72-206)*2),VLOOKUP(G72,baza!$I:$J,2,0)))</f>
        <v>0</v>
      </c>
      <c r="I72" s="105">
        <v>438</v>
      </c>
      <c r="J72" s="104">
        <f>IF(I72&lt;210,0,IF(I72&gt;712,(200+I72-712),VLOOKUP(I72,baza!$B$3:$F$202,5,1)))</f>
        <v>53</v>
      </c>
      <c r="K72" s="106">
        <v>358.23</v>
      </c>
      <c r="L72" s="104">
        <f>IF(K72="",0,IF(K72&gt;(-1*baza!$D$3),0,IF(K72&lt;232.3,INT(200+(232.3-K72)*3),VLOOKUP(-K72,baza!$D$1:$F$203,3,1))))</f>
        <v>27</v>
      </c>
      <c r="M72" s="107">
        <f t="shared" si="18"/>
        <v>148</v>
      </c>
      <c r="N72" s="108">
        <f t="shared" si="19"/>
        <v>175</v>
      </c>
      <c r="O72" s="14"/>
      <c r="P72" s="9"/>
    </row>
    <row r="73" spans="1:16" ht="18" thickTop="1" thickBot="1">
      <c r="A73" s="30" t="str">
        <f>O76 &amp;"  " &amp;"II dzień"</f>
        <v>828  II dzień</v>
      </c>
      <c r="B73" s="114" t="str">
        <f>szkoły!B21</f>
        <v>Bonalski Maciej</v>
      </c>
      <c r="C73" s="103">
        <v>8.9</v>
      </c>
      <c r="D73" s="104">
        <f>IF(C73&gt;="",0,IF(C73&gt;=11.61,0,IF(C73&lt;6.91,(200+(6.91-C73)*100),VLOOKUP(-C73,baza!$E:$F,2,1))))</f>
        <v>58</v>
      </c>
      <c r="E73" s="103">
        <v>31</v>
      </c>
      <c r="F73" s="104">
        <f>IF(E73&lt;18,0,IF(E73&gt;104,(200+(E73-104)*4),VLOOKUP(E73,baza!$C$3:$F$202,4,1)))</f>
        <v>27</v>
      </c>
      <c r="G73" s="105"/>
      <c r="H73" s="104">
        <f>IF(G73&lt;baza!$I$202,0,IF(G73&gt;baza!$I$3,(200+(G73-206)*2),VLOOKUP(G73,baza!$I:$J,2,0)))</f>
        <v>0</v>
      </c>
      <c r="I73" s="105">
        <v>415</v>
      </c>
      <c r="J73" s="104">
        <f>IF(I73&lt;210,0,IF(I73&gt;712,(200+I73-712),VLOOKUP(I73,baza!$B$3:$F$202,5,1)))</f>
        <v>46</v>
      </c>
      <c r="K73" s="106">
        <v>345.3</v>
      </c>
      <c r="L73" s="104">
        <f>IF(K73="",0,IF(K73&gt;(-1*baza!$D$3),0,IF(K73&lt;232.3,INT(200+(232.3-K73)*3),VLOOKUP(-K73,baza!$D$1:$F$203,3,1))))</f>
        <v>38</v>
      </c>
      <c r="M73" s="107">
        <f t="shared" si="18"/>
        <v>131</v>
      </c>
      <c r="N73" s="108">
        <f t="shared" si="19"/>
        <v>169</v>
      </c>
      <c r="O73" s="14"/>
      <c r="P73" s="9"/>
    </row>
    <row r="74" spans="1:16" ht="18" thickTop="1" thickBot="1">
      <c r="A74" s="10"/>
      <c r="B74" s="114" t="str">
        <f>szkoły!B22</f>
        <v>Bors Paweł</v>
      </c>
      <c r="C74" s="103">
        <v>9.33</v>
      </c>
      <c r="D74" s="104">
        <f>IF(C74&gt;="",0,IF(C74&gt;=11.61,0,IF(C74&lt;6.91,(200+(6.91-C74)*100),VLOOKUP(-C74,baza!$E:$F,2,1))))</f>
        <v>43</v>
      </c>
      <c r="E74" s="103">
        <v>36</v>
      </c>
      <c r="F74" s="104">
        <f>IF(E74&lt;18,0,IF(E74&gt;104,(200+(E74-104)*4),VLOOKUP(E74,baza!$C$3:$F$202,4,1)))</f>
        <v>37</v>
      </c>
      <c r="G74" s="105"/>
      <c r="H74" s="104">
        <f>IF(G74&lt;baza!$I$202,0,IF(G74&gt;baza!$I$3,(200+(G74-206)*2),VLOOKUP(G74,baza!$I:$J,2,0)))</f>
        <v>0</v>
      </c>
      <c r="I74" s="105">
        <v>420</v>
      </c>
      <c r="J74" s="104">
        <f>IF(I74&lt;210,0,IF(I74&gt;712,(200+I74-712),VLOOKUP(I74,baza!$B$3:$F$202,5,1)))</f>
        <v>47</v>
      </c>
      <c r="K74" s="106">
        <v>407.99</v>
      </c>
      <c r="L74" s="104">
        <f>IF(K74="",0,IF(K74&gt;(-1*baza!$D$3),0,IF(K74&lt;232.3,INT(200+(232.3-K74)*3),VLOOKUP(-K74,baza!$D$1:$F$203,3,1))))</f>
        <v>18</v>
      </c>
      <c r="M74" s="107">
        <f t="shared" si="18"/>
        <v>127</v>
      </c>
      <c r="N74" s="108">
        <f t="shared" si="19"/>
        <v>145</v>
      </c>
      <c r="O74" s="14"/>
      <c r="P74" s="9"/>
    </row>
    <row r="75" spans="1:16" ht="18" thickTop="1" thickBot="1">
      <c r="A75" s="10"/>
      <c r="B75" s="114" t="str">
        <f>szkoły!B23</f>
        <v>Pękala Bartłomiej</v>
      </c>
      <c r="C75" s="103">
        <v>9.34</v>
      </c>
      <c r="D75" s="104">
        <f>IF(C75&gt;="",0,IF(C75&gt;=11.61,0,IF(C75&lt;6.91,(200+(6.91-C75)*100),VLOOKUP(-C75,baza!$E:$F,2,1))))</f>
        <v>43</v>
      </c>
      <c r="E75" s="103">
        <v>29</v>
      </c>
      <c r="F75" s="104">
        <f>IF(E75&lt;18,0,IF(E75&gt;104,(200+(E75-104)*4),VLOOKUP(E75,baza!$C$3:$F$202,4,1)))</f>
        <v>23</v>
      </c>
      <c r="G75" s="105"/>
      <c r="H75" s="104">
        <f>IF(G75&lt;baza!$I$202,0,IF(G75&gt;baza!$I$3,(200+(G75-206)*2),VLOOKUP(G75,baza!$I:$J,2,0)))</f>
        <v>0</v>
      </c>
      <c r="I75" s="105">
        <v>427</v>
      </c>
      <c r="J75" s="104">
        <f>IF(I75&lt;210,0,IF(I75&gt;712,(200+I75-712),VLOOKUP(I75,baza!$B$3:$F$202,5,1)))</f>
        <v>50</v>
      </c>
      <c r="K75" s="106">
        <v>349.9</v>
      </c>
      <c r="L75" s="104">
        <f>IF(K75="",0,IF(K75&gt;(-1*baza!$D$3),0,IF(K75&lt;232.3,INT(200+(232.3-K75)*3),VLOOKUP(-K75,baza!$D$1:$F$203,3,1))))</f>
        <v>34</v>
      </c>
      <c r="M75" s="107">
        <f t="shared" si="18"/>
        <v>116</v>
      </c>
      <c r="N75" s="108">
        <f t="shared" si="19"/>
        <v>150</v>
      </c>
      <c r="O75" s="15">
        <f>SUM(M71:M76)</f>
        <v>808</v>
      </c>
      <c r="P75" s="8" t="s">
        <v>9</v>
      </c>
    </row>
    <row r="76" spans="1:16" ht="18" thickTop="1" thickBot="1">
      <c r="A76" s="10"/>
      <c r="B76" s="114" t="str">
        <f>szkoły!B24</f>
        <v>Urbaniak Igor</v>
      </c>
      <c r="C76" s="103">
        <v>9.1999999999999993</v>
      </c>
      <c r="D76" s="104">
        <f>IF(C76&gt;="",0,IF(C76&gt;=11.61,0,IF(C76&lt;6.91,(200+(6.91-C76)*100),VLOOKUP(-C76,baza!$E:$F,2,1))))</f>
        <v>48</v>
      </c>
      <c r="E76" s="103">
        <v>43.5</v>
      </c>
      <c r="F76" s="104">
        <f>IF(E76&lt;18,0,IF(E76&gt;104,(200+(E76-104)*4),VLOOKUP(E76,baza!$C$3:$F$202,4,1)))</f>
        <v>52</v>
      </c>
      <c r="G76" s="105"/>
      <c r="H76" s="104">
        <f>IF(G76&lt;baza!$I$202,0,IF(G76&gt;baza!$I$3,(200+(G76-206)*2),VLOOKUP(G76,baza!$I:$J,2,0)))</f>
        <v>0</v>
      </c>
      <c r="I76" s="105">
        <v>396</v>
      </c>
      <c r="J76" s="104">
        <f>IF(I76&lt;210,0,IF(I76&gt;712,(200+I76-712),VLOOKUP(I76,baza!$B$3:$F$202,5,1)))</f>
        <v>39</v>
      </c>
      <c r="K76" s="106">
        <v>346.47</v>
      </c>
      <c r="L76" s="104">
        <f>IF(K76="",0,IF(K76&gt;(-1*baza!$D$3),0,IF(K76&lt;232.3,INT(200+(232.3-K76)*3),VLOOKUP(-K76,baza!$D$1:$F$203,3,1))))</f>
        <v>37</v>
      </c>
      <c r="M76" s="107">
        <f t="shared" si="18"/>
        <v>139</v>
      </c>
      <c r="N76" s="108">
        <f t="shared" si="19"/>
        <v>176</v>
      </c>
      <c r="O76" s="15">
        <f>IF(COUNT(N71:N76)&lt;6,SUM(N71:N76),SUM(N71:N76)-MIN(N71:N76))</f>
        <v>828</v>
      </c>
      <c r="P76" s="8" t="s">
        <v>11</v>
      </c>
    </row>
    <row r="77" spans="1:16" ht="16.5" thickTop="1" thickBot="1">
      <c r="A77" s="13" t="str">
        <f>szkoły!C18</f>
        <v>SP2 Zielonka</v>
      </c>
      <c r="B77" s="113" t="s">
        <v>6</v>
      </c>
      <c r="C77" s="25" t="s">
        <v>3</v>
      </c>
      <c r="D77" s="27" t="s">
        <v>7</v>
      </c>
      <c r="E77" s="28" t="s">
        <v>8</v>
      </c>
      <c r="F77" s="27" t="s">
        <v>7</v>
      </c>
      <c r="G77" s="27" t="s">
        <v>5</v>
      </c>
      <c r="H77" s="27" t="s">
        <v>7</v>
      </c>
      <c r="I77" s="27" t="s">
        <v>0</v>
      </c>
      <c r="J77" s="27" t="s">
        <v>7</v>
      </c>
      <c r="K77" s="29" t="s">
        <v>2</v>
      </c>
      <c r="L77" s="27" t="s">
        <v>7</v>
      </c>
      <c r="M77" s="26" t="s">
        <v>9</v>
      </c>
      <c r="N77" s="26" t="s">
        <v>10</v>
      </c>
      <c r="O77" s="14"/>
      <c r="P77" s="9"/>
    </row>
    <row r="78" spans="1:16" ht="18" thickTop="1" thickBot="1">
      <c r="A78" s="7"/>
      <c r="B78" s="114" t="str">
        <f>szkoły!C19</f>
        <v>Balcer Antoni</v>
      </c>
      <c r="C78" s="103">
        <v>8.65</v>
      </c>
      <c r="D78" s="104">
        <f>IF(C78&gt;="",0,IF(C78&gt;=11.61,0,IF(C78&lt;6.91,(200+(6.91-C78)*100),VLOOKUP(-C78,baza!$E:$F,2,1))))</f>
        <v>66</v>
      </c>
      <c r="E78" s="103">
        <v>52</v>
      </c>
      <c r="F78" s="104">
        <f>IF(E78&lt;18,0,IF(E78&gt;104,(200+(E78-104)*4),VLOOKUP(E78,baza!$C$3:$F$202,4,1)))</f>
        <v>69</v>
      </c>
      <c r="G78" s="105"/>
      <c r="H78" s="104">
        <f>IF(G78&lt;baza!$I$202,0,IF(G78&gt;baza!$I$3,(200+(G78-206)*2),VLOOKUP(G78,baza!$I:$J,2,0)))</f>
        <v>0</v>
      </c>
      <c r="I78" s="105">
        <v>502</v>
      </c>
      <c r="J78" s="104">
        <f>IF(I78&lt;210,0,IF(I78&gt;712,(200+I78-712),VLOOKUP(I78,baza!$B$3:$F$202,5,1)))</f>
        <v>74</v>
      </c>
      <c r="K78" s="106">
        <v>302.57</v>
      </c>
      <c r="L78" s="104">
        <f>IF(K78="",0,IF(K78&gt;(-1*baza!$D$3),0,IF(K78&lt;232.3,INT(200+(232.3-K78)*3),VLOOKUP(-K78,baza!$D$1:$F$203,3,1))))</f>
        <v>91</v>
      </c>
      <c r="M78" s="107">
        <f t="shared" ref="M78:M83" si="20">(D78+F78+H78+J78)</f>
        <v>209</v>
      </c>
      <c r="N78" s="108">
        <f t="shared" ref="N78:N83" si="21">M78+L78</f>
        <v>300</v>
      </c>
      <c r="O78" s="14"/>
      <c r="P78" s="9"/>
    </row>
    <row r="79" spans="1:16" ht="18" thickTop="1" thickBot="1">
      <c r="A79" s="30" t="str">
        <f>O82 &amp;"  " &amp;"I dzień"</f>
        <v>894  I dzień</v>
      </c>
      <c r="B79" s="114" t="str">
        <f>szkoły!C20</f>
        <v>Kobielski Mateusz</v>
      </c>
      <c r="C79" s="103">
        <v>8.73</v>
      </c>
      <c r="D79" s="104">
        <f>IF(C79&gt;="",0,IF(C79&gt;=11.61,0,IF(C79&lt;6.91,(200+(6.91-C79)*100),VLOOKUP(-C79,baza!$E:$F,2,1))))</f>
        <v>63</v>
      </c>
      <c r="E79" s="103">
        <v>49.5</v>
      </c>
      <c r="F79" s="104">
        <f>IF(E79&lt;18,0,IF(E79&gt;104,(200+(E79-104)*4),VLOOKUP(E79,baza!$C$3:$F$202,4,1)))</f>
        <v>64</v>
      </c>
      <c r="G79" s="105"/>
      <c r="H79" s="104">
        <f>IF(G79&lt;baza!$I$202,0,IF(G79&gt;baza!$I$3,(200+(G79-206)*2),VLOOKUP(G79,baza!$I:$J,2,0)))</f>
        <v>0</v>
      </c>
      <c r="I79" s="105">
        <v>462</v>
      </c>
      <c r="J79" s="104">
        <f>IF(I79&lt;210,0,IF(I79&gt;712,(200+I79-712),VLOOKUP(I79,baza!$B$3:$F$202,5,1)))</f>
        <v>61</v>
      </c>
      <c r="K79" s="106">
        <v>411.31</v>
      </c>
      <c r="L79" s="104">
        <f>IF(K79="",0,IF(K79&gt;(-1*baza!$D$3),0,IF(K79&lt;232.3,INT(200+(232.3-K79)*3),VLOOKUP(-K79,baza!$D$1:$F$203,3,1))))</f>
        <v>16</v>
      </c>
      <c r="M79" s="107">
        <f t="shared" si="20"/>
        <v>188</v>
      </c>
      <c r="N79" s="108">
        <f t="shared" si="21"/>
        <v>204</v>
      </c>
      <c r="O79" s="14"/>
      <c r="P79" s="9"/>
    </row>
    <row r="80" spans="1:16" ht="18" thickTop="1" thickBot="1">
      <c r="A80" s="30" t="str">
        <f>O83 &amp;"  " &amp;"II dzień"</f>
        <v>1009  II dzień</v>
      </c>
      <c r="B80" s="114" t="str">
        <f>szkoły!C21</f>
        <v>Ducki Michał</v>
      </c>
      <c r="C80" s="103">
        <v>9.41</v>
      </c>
      <c r="D80" s="104">
        <f>IF(C80&gt;="",0,IF(C80&gt;=11.61,0,IF(C80&lt;6.91,(200+(6.91-C80)*100),VLOOKUP(-C80,baza!$E:$F,2,1))))</f>
        <v>41</v>
      </c>
      <c r="E80" s="103">
        <v>35</v>
      </c>
      <c r="F80" s="104">
        <f>IF(E80&lt;18,0,IF(E80&gt;104,(200+(E80-104)*4),VLOOKUP(E80,baza!$C$3:$F$202,4,1)))</f>
        <v>35</v>
      </c>
      <c r="G80" s="105"/>
      <c r="H80" s="104">
        <f>IF(G80&lt;baza!$I$202,0,IF(G80&gt;baza!$I$3,(200+(G80-206)*2),VLOOKUP(G80,baza!$I:$J,2,0)))</f>
        <v>0</v>
      </c>
      <c r="I80" s="105">
        <v>369</v>
      </c>
      <c r="J80" s="104">
        <f>IF(I80&lt;210,0,IF(I80&gt;712,(200+I80-712),VLOOKUP(I80,baza!$B$3:$F$202,5,1)))</f>
        <v>29</v>
      </c>
      <c r="K80" s="106">
        <v>324.77</v>
      </c>
      <c r="L80" s="104">
        <f>IF(K80="",0,IF(K80&gt;(-1*baza!$D$3),0,IF(K80&lt;232.3,INT(200+(232.3-K80)*3),VLOOKUP(-K80,baza!$D$1:$F$203,3,1))))</f>
        <v>61</v>
      </c>
      <c r="M80" s="107">
        <f t="shared" si="20"/>
        <v>105</v>
      </c>
      <c r="N80" s="108">
        <f t="shared" si="21"/>
        <v>166</v>
      </c>
      <c r="O80" s="14"/>
      <c r="P80" s="9"/>
    </row>
    <row r="81" spans="1:16" ht="18" thickTop="1" thickBot="1">
      <c r="A81" s="7"/>
      <c r="B81" s="114" t="str">
        <f>szkoły!C22</f>
        <v>Kochański Adrian</v>
      </c>
      <c r="C81" s="103">
        <v>9.42</v>
      </c>
      <c r="D81" s="104">
        <f>IF(C81&gt;="",0,IF(C81&gt;=11.61,0,IF(C81&lt;6.91,(200+(6.91-C81)*100),VLOOKUP(-C81,baza!$E:$F,2,1))))</f>
        <v>41</v>
      </c>
      <c r="E81" s="103">
        <v>37</v>
      </c>
      <c r="F81" s="104">
        <f>IF(E81&lt;18,0,IF(E81&gt;104,(200+(E81-104)*4),VLOOKUP(E81,baza!$C$3:$F$202,4,1)))</f>
        <v>39</v>
      </c>
      <c r="G81" s="105"/>
      <c r="H81" s="104">
        <f>IF(G81&lt;baza!$I$202,0,IF(G81&gt;baza!$I$3,(200+(G81-206)*2),VLOOKUP(G81,baza!$I:$J,2,0)))</f>
        <v>0</v>
      </c>
      <c r="I81" s="105">
        <v>411</v>
      </c>
      <c r="J81" s="104">
        <f>IF(I81&lt;210,0,IF(I81&gt;712,(200+I81-712),VLOOKUP(I81,baza!$B$3:$F$202,5,1)))</f>
        <v>44</v>
      </c>
      <c r="K81" s="106">
        <v>350.37</v>
      </c>
      <c r="L81" s="104">
        <f>IF(K81="",0,IF(K81&gt;(-1*baza!$D$3),0,IF(K81&lt;232.3,INT(200+(232.3-K81)*3),VLOOKUP(-K81,baza!$D$1:$F$203,3,1))))</f>
        <v>34</v>
      </c>
      <c r="M81" s="107">
        <f t="shared" si="20"/>
        <v>124</v>
      </c>
      <c r="N81" s="108">
        <f t="shared" si="21"/>
        <v>158</v>
      </c>
      <c r="O81" s="14"/>
      <c r="P81" s="9"/>
    </row>
    <row r="82" spans="1:16" ht="18" thickTop="1" thickBot="1">
      <c r="A82" s="7"/>
      <c r="B82" s="114" t="str">
        <f>szkoły!C23</f>
        <v>Sienkiewicz Marcin</v>
      </c>
      <c r="C82" s="103">
        <v>9.57</v>
      </c>
      <c r="D82" s="104">
        <f>IF(C82&gt;="",0,IF(C82&gt;=11.61,0,IF(C82&lt;6.91,(200+(6.91-C82)*100),VLOOKUP(-C82,baza!$E:$F,2,1))))</f>
        <v>37</v>
      </c>
      <c r="E82" s="103">
        <v>30.5</v>
      </c>
      <c r="F82" s="104">
        <f>IF(E82&lt;18,0,IF(E82&gt;104,(200+(E82-104)*4),VLOOKUP(E82,baza!$C$3:$F$202,4,1)))</f>
        <v>26</v>
      </c>
      <c r="G82" s="105"/>
      <c r="H82" s="104">
        <f>IF(G82&lt;baza!$I$202,0,IF(G82&gt;baza!$I$3,(200+(G82-206)*2),VLOOKUP(G82,baza!$I:$J,2,0)))</f>
        <v>0</v>
      </c>
      <c r="I82" s="105">
        <v>445</v>
      </c>
      <c r="J82" s="104">
        <f>IF(I82&lt;210,0,IF(I82&gt;712,(200+I82-712),VLOOKUP(I82,baza!$B$3:$F$202,5,1)))</f>
        <v>56</v>
      </c>
      <c r="K82" s="106">
        <v>328.75</v>
      </c>
      <c r="L82" s="104">
        <f>IF(K82="",0,IF(K82&gt;(-1*baza!$D$3),0,IF(K82&lt;232.3,INT(200+(232.3-K82)*3),VLOOKUP(-K82,baza!$D$1:$F$203,3,1))))</f>
        <v>56</v>
      </c>
      <c r="M82" s="107">
        <f t="shared" si="20"/>
        <v>119</v>
      </c>
      <c r="N82" s="108">
        <f t="shared" si="21"/>
        <v>175</v>
      </c>
      <c r="O82" s="15">
        <f>SUM(M78:M83)</f>
        <v>894</v>
      </c>
      <c r="P82" s="8" t="s">
        <v>9</v>
      </c>
    </row>
    <row r="83" spans="1:16" ht="18" thickTop="1" thickBot="1">
      <c r="A83" s="7"/>
      <c r="B83" s="114" t="str">
        <f>szkoły!C24</f>
        <v>Zwierzchowski Krystian</v>
      </c>
      <c r="C83" s="103">
        <v>9.42</v>
      </c>
      <c r="D83" s="104">
        <f>IF(C83&gt;="",0,IF(C83&gt;=11.61,0,IF(C83&lt;6.91,(200+(6.91-C83)*100),VLOOKUP(-C83,baza!$E:$F,2,1))))</f>
        <v>41</v>
      </c>
      <c r="E83" s="103">
        <v>49</v>
      </c>
      <c r="F83" s="104">
        <f>IF(E83&lt;18,0,IF(E83&gt;104,(200+(E83-104)*4),VLOOKUP(E83,baza!$C$3:$F$202,4,1)))</f>
        <v>63</v>
      </c>
      <c r="G83" s="105"/>
      <c r="H83" s="104">
        <f>IF(G83&lt;baza!$I$202,0,IF(G83&gt;baza!$I$3,(200+(G83-206)*2),VLOOKUP(G83,baza!$I:$J,2,0)))</f>
        <v>0</v>
      </c>
      <c r="I83" s="105">
        <v>412</v>
      </c>
      <c r="J83" s="104">
        <f>IF(I83&lt;210,0,IF(I83&gt;712,(200+I83-712),VLOOKUP(I83,baza!$B$3:$F$202,5,1)))</f>
        <v>45</v>
      </c>
      <c r="K83" s="106">
        <v>412.78</v>
      </c>
      <c r="L83" s="104">
        <f>IF(K83="",0,IF(K83&gt;(-1*baza!$D$3),0,IF(K83&lt;232.3,INT(200+(232.3-K83)*3),VLOOKUP(-K83,baza!$D$1:$F$203,3,1))))</f>
        <v>15</v>
      </c>
      <c r="M83" s="107">
        <f t="shared" si="20"/>
        <v>149</v>
      </c>
      <c r="N83" s="108">
        <f t="shared" si="21"/>
        <v>164</v>
      </c>
      <c r="O83" s="15">
        <f>IF(COUNT(N78:N83)&lt;6,SUM(N78:N83),SUM(N78:N83)-MIN(N78:N83))</f>
        <v>1009</v>
      </c>
      <c r="P83" s="8" t="s">
        <v>11</v>
      </c>
    </row>
    <row r="84" spans="1:16" ht="16.5" thickTop="1" thickBot="1">
      <c r="A84" s="13" t="str">
        <f>szkoły!D18</f>
        <v>SP2 Mława</v>
      </c>
      <c r="B84" s="113" t="s">
        <v>6</v>
      </c>
      <c r="C84" s="25" t="s">
        <v>3</v>
      </c>
      <c r="D84" s="27" t="s">
        <v>7</v>
      </c>
      <c r="E84" s="28" t="s">
        <v>8</v>
      </c>
      <c r="F84" s="27" t="s">
        <v>7</v>
      </c>
      <c r="G84" s="27" t="s">
        <v>5</v>
      </c>
      <c r="H84" s="27" t="s">
        <v>7</v>
      </c>
      <c r="I84" s="27" t="s">
        <v>0</v>
      </c>
      <c r="J84" s="27" t="s">
        <v>7</v>
      </c>
      <c r="K84" s="29" t="s">
        <v>2</v>
      </c>
      <c r="L84" s="27" t="s">
        <v>7</v>
      </c>
      <c r="M84" s="26" t="s">
        <v>9</v>
      </c>
      <c r="N84" s="26" t="s">
        <v>10</v>
      </c>
      <c r="O84" s="14"/>
      <c r="P84" s="9"/>
    </row>
    <row r="85" spans="1:16" ht="18" thickTop="1" thickBot="1">
      <c r="A85" s="10"/>
      <c r="B85" s="114" t="str">
        <f>szkoły!D19</f>
        <v>Cendrowski Kacper</v>
      </c>
      <c r="C85" s="103">
        <v>8.68</v>
      </c>
      <c r="D85" s="104">
        <f>IF(C85&gt;="",0,IF(C85&gt;=11.61,0,IF(C85&lt;6.91,(200+(6.91-C85)*100),VLOOKUP(-C85,baza!$E:$F,2,1))))</f>
        <v>65</v>
      </c>
      <c r="E85" s="103">
        <v>32.5</v>
      </c>
      <c r="F85" s="104">
        <f>IF(E85&lt;18,0,IF(E85&gt;104,(200+(E85-104)*4),VLOOKUP(E85,baza!$C$3:$F$202,4,1)))</f>
        <v>30</v>
      </c>
      <c r="G85" s="105"/>
      <c r="H85" s="104">
        <f>IF(G85&lt;baza!$I$202,0,IF(G85&gt;baza!$I$3,(200+(G85-206)*2),VLOOKUP(G85,baza!$I:$J,2,0)))</f>
        <v>0</v>
      </c>
      <c r="I85" s="105">
        <v>423</v>
      </c>
      <c r="J85" s="104">
        <f>IF(I85&lt;210,0,IF(I85&gt;712,(200+I85-712),VLOOKUP(I85,baza!$B$3:$F$202,5,1)))</f>
        <v>48</v>
      </c>
      <c r="K85" s="106">
        <v>332.37</v>
      </c>
      <c r="L85" s="104">
        <f>IF(K85="",0,IF(K85&gt;(-1*baza!$D$3),0,IF(K85&lt;232.3,INT(200+(232.3-K85)*3),VLOOKUP(-K85,baza!$D$1:$F$203,3,1))))</f>
        <v>52</v>
      </c>
      <c r="M85" s="107">
        <f t="shared" ref="M85:M90" si="22">(D85+F85+H85+J85)</f>
        <v>143</v>
      </c>
      <c r="N85" s="108">
        <f t="shared" ref="N85:N90" si="23">M85+L85</f>
        <v>195</v>
      </c>
      <c r="O85" s="14"/>
      <c r="P85" s="9"/>
    </row>
    <row r="86" spans="1:16" ht="18" thickTop="1" thickBot="1">
      <c r="A86" s="30" t="str">
        <f>O89 &amp;"  " &amp;"I dzień"</f>
        <v>651  I dzień</v>
      </c>
      <c r="B86" s="114" t="str">
        <f>szkoły!D20</f>
        <v>Domżalski Szymon</v>
      </c>
      <c r="C86" s="103">
        <v>9.16</v>
      </c>
      <c r="D86" s="104">
        <f>IF(C86&gt;="",0,IF(C86&gt;=11.61,0,IF(C86&lt;6.91,(200+(6.91-C86)*100),VLOOKUP(-C86,baza!$E:$F,2,1))))</f>
        <v>49</v>
      </c>
      <c r="E86" s="103">
        <v>39</v>
      </c>
      <c r="F86" s="104">
        <f>IF(E86&lt;18,0,IF(E86&gt;104,(200+(E86-104)*4),VLOOKUP(E86,baza!$C$3:$F$202,4,1)))</f>
        <v>43</v>
      </c>
      <c r="G86" s="105"/>
      <c r="H86" s="104">
        <f>IF(G86&lt;baza!$I$202,0,IF(G86&gt;baza!$I$3,(200+(G86-206)*2),VLOOKUP(G86,baza!$I:$J,2,0)))</f>
        <v>0</v>
      </c>
      <c r="I86" s="105">
        <v>483</v>
      </c>
      <c r="J86" s="104">
        <f>IF(I86&lt;210,0,IF(I86&gt;712,(200+I86-712),VLOOKUP(I86,baza!$B$3:$F$202,5,1)))</f>
        <v>68</v>
      </c>
      <c r="K86" s="106">
        <v>345.01</v>
      </c>
      <c r="L86" s="104">
        <f>IF(K86="",0,IF(K86&gt;(-1*baza!$D$3),0,IF(K86&lt;232.3,INT(200+(232.3-K86)*3),VLOOKUP(-K86,baza!$D$1:$F$203,3,1))))</f>
        <v>39</v>
      </c>
      <c r="M86" s="107">
        <f t="shared" si="22"/>
        <v>160</v>
      </c>
      <c r="N86" s="108">
        <f t="shared" si="23"/>
        <v>199</v>
      </c>
      <c r="O86" s="14"/>
      <c r="P86" s="9"/>
    </row>
    <row r="87" spans="1:16" ht="18" thickTop="1" thickBot="1">
      <c r="A87" s="30" t="str">
        <f>O90 &amp;"  " &amp;"II dzień"</f>
        <v>879  II dzień</v>
      </c>
      <c r="B87" s="114" t="str">
        <f>szkoły!D21</f>
        <v>Jędrzejewski Kamil</v>
      </c>
      <c r="C87" s="103">
        <v>9.41</v>
      </c>
      <c r="D87" s="104">
        <f>IF(C87&gt;="",0,IF(C87&gt;=11.61,0,IF(C87&lt;6.91,(200+(6.91-C87)*100),VLOOKUP(-C87,baza!$E:$F,2,1))))</f>
        <v>41</v>
      </c>
      <c r="E87" s="103">
        <v>40</v>
      </c>
      <c r="F87" s="104">
        <f>IF(E87&lt;18,0,IF(E87&gt;104,(200+(E87-104)*4),VLOOKUP(E87,baza!$C$3:$F$202,4,1)))</f>
        <v>45</v>
      </c>
      <c r="G87" s="105"/>
      <c r="H87" s="104">
        <f>IF(G87&lt;baza!$I$202,0,IF(G87&gt;baza!$I$3,(200+(G87-206)*2),VLOOKUP(G87,baza!$I:$J,2,0)))</f>
        <v>0</v>
      </c>
      <c r="I87" s="105">
        <v>429</v>
      </c>
      <c r="J87" s="104">
        <f>IF(I87&lt;210,0,IF(I87&gt;712,(200+I87-712),VLOOKUP(I87,baza!$B$3:$F$202,5,1)))</f>
        <v>50</v>
      </c>
      <c r="K87" s="106">
        <v>334.75</v>
      </c>
      <c r="L87" s="104">
        <f>IF(K87="",0,IF(K87&gt;(-1*baza!$D$3),0,IF(K87&lt;232.3,INT(200+(232.3-K87)*3),VLOOKUP(-K87,baza!$D$1:$F$203,3,1))))</f>
        <v>49</v>
      </c>
      <c r="M87" s="107">
        <f t="shared" si="22"/>
        <v>136</v>
      </c>
      <c r="N87" s="108">
        <f t="shared" si="23"/>
        <v>185</v>
      </c>
      <c r="O87" s="14"/>
      <c r="P87" s="9"/>
    </row>
    <row r="88" spans="1:16" ht="18" thickTop="1" thickBot="1">
      <c r="A88" s="10"/>
      <c r="B88" s="114" t="str">
        <f>szkoły!D22</f>
        <v>Starzak Brajan</v>
      </c>
      <c r="C88" s="103">
        <v>9.5299999999999994</v>
      </c>
      <c r="D88" s="104">
        <f>IF(C88&gt;="",0,IF(C88&gt;=11.61,0,IF(C88&lt;6.91,(200+(6.91-C88)*100),VLOOKUP(-C88,baza!$E:$F,2,1))))</f>
        <v>38</v>
      </c>
      <c r="E88" s="103">
        <v>36.5</v>
      </c>
      <c r="F88" s="104">
        <f>IF(E88&lt;18,0,IF(E88&gt;104,(200+(E88-104)*4),VLOOKUP(E88,baza!$C$3:$F$202,4,1)))</f>
        <v>38</v>
      </c>
      <c r="G88" s="105"/>
      <c r="H88" s="104">
        <f>IF(G88&lt;baza!$I$202,0,IF(G88&gt;baza!$I$3,(200+(G88-206)*2),VLOOKUP(G88,baza!$I:$J,2,0)))</f>
        <v>0</v>
      </c>
      <c r="I88" s="105">
        <v>390</v>
      </c>
      <c r="J88" s="104">
        <f>IF(I88&lt;210,0,IF(I88&gt;712,(200+I88-712),VLOOKUP(I88,baza!$B$3:$F$202,5,1)))</f>
        <v>37</v>
      </c>
      <c r="K88" s="106">
        <v>336.88</v>
      </c>
      <c r="L88" s="104">
        <f>IF(K88="",0,IF(K88&gt;(-1*baza!$D$3),0,IF(K88&lt;232.3,INT(200+(232.3-K88)*3),VLOOKUP(-K88,baza!$D$1:$F$203,3,1))))</f>
        <v>47</v>
      </c>
      <c r="M88" s="107">
        <f t="shared" si="22"/>
        <v>113</v>
      </c>
      <c r="N88" s="108">
        <f t="shared" si="23"/>
        <v>160</v>
      </c>
      <c r="O88" s="14"/>
      <c r="P88" s="9"/>
    </row>
    <row r="89" spans="1:16" ht="18" thickTop="1" thickBot="1">
      <c r="A89" s="10"/>
      <c r="B89" s="114" t="str">
        <f>szkoły!D23</f>
        <v>Czaplicki Karol</v>
      </c>
      <c r="C89" s="103">
        <v>10.18</v>
      </c>
      <c r="D89" s="104">
        <f>IF(C89&gt;="",0,IF(C89&gt;=11.61,0,IF(C89&lt;6.91,(200+(6.91-C89)*100),VLOOKUP(-C89,baza!$E:$F,2,1))))</f>
        <v>24</v>
      </c>
      <c r="E89" s="103">
        <v>38</v>
      </c>
      <c r="F89" s="104">
        <f>IF(E89&lt;18,0,IF(E89&gt;104,(200+(E89-104)*4),VLOOKUP(E89,baza!$C$3:$F$202,4,1)))</f>
        <v>41</v>
      </c>
      <c r="G89" s="105"/>
      <c r="H89" s="104">
        <f>IF(G89&lt;baza!$I$202,0,IF(G89&gt;baza!$I$3,(200+(G89-206)*2),VLOOKUP(G89,baza!$I:$J,2,0)))</f>
        <v>0</v>
      </c>
      <c r="I89" s="105">
        <v>381</v>
      </c>
      <c r="J89" s="104">
        <f>IF(I89&lt;210,0,IF(I89&gt;712,(200+I89-712),VLOOKUP(I89,baza!$B$3:$F$202,5,1)))</f>
        <v>34</v>
      </c>
      <c r="K89" s="106">
        <v>342.47</v>
      </c>
      <c r="L89" s="104">
        <f>IF(K89="",0,IF(K89&gt;(-1*baza!$D$3),0,IF(K89&lt;232.3,INT(200+(232.3-K89)*3),VLOOKUP(-K89,baza!$D$1:$F$203,3,1))))</f>
        <v>41</v>
      </c>
      <c r="M89" s="107">
        <f t="shared" si="22"/>
        <v>99</v>
      </c>
      <c r="N89" s="108">
        <f t="shared" si="23"/>
        <v>140</v>
      </c>
      <c r="O89" s="15">
        <f>SUM(M85:M90)</f>
        <v>651</v>
      </c>
      <c r="P89" s="8" t="s">
        <v>9</v>
      </c>
    </row>
    <row r="90" spans="1:16" ht="18" thickTop="1" thickBot="1">
      <c r="A90" s="10"/>
      <c r="B90" s="114">
        <f>szkoły!D24</f>
        <v>0</v>
      </c>
      <c r="C90" s="103"/>
      <c r="D90" s="104">
        <f>IF(C90&gt;="",0,IF(C90&gt;=11.61,0,IF(C90&lt;6.91,(200+(6.91-C90)*100),VLOOKUP(-C90,baza!$E:$F,2,1))))</f>
        <v>0</v>
      </c>
      <c r="E90" s="103"/>
      <c r="F90" s="104">
        <f>IF(E90&lt;18,0,IF(E90&gt;104,(200+(E90-104)*4),VLOOKUP(E90,baza!$C$3:$F$202,4,1)))</f>
        <v>0</v>
      </c>
      <c r="G90" s="105"/>
      <c r="H90" s="104">
        <f>IF(G90&lt;baza!$I$202,0,IF(G90&gt;baza!$I$3,(200+(G90-206)*2),VLOOKUP(G90,baza!$I:$J,2,0)))</f>
        <v>0</v>
      </c>
      <c r="I90" s="105"/>
      <c r="J90" s="104">
        <f>IF(I90&lt;210,0,IF(I90&gt;712,(200+I90-712),VLOOKUP(I90,baza!$B$3:$F$202,5,1)))</f>
        <v>0</v>
      </c>
      <c r="K90" s="106"/>
      <c r="L90" s="104">
        <f>IF(K90="",0,IF(K90&gt;(-1*baza!$D$3),0,IF(K90&lt;232.3,INT(200+(232.3-K90)*3),VLOOKUP(-K90,baza!$D$1:$F$203,3,1))))</f>
        <v>0</v>
      </c>
      <c r="M90" s="107">
        <f t="shared" si="22"/>
        <v>0</v>
      </c>
      <c r="N90" s="108">
        <f t="shared" si="23"/>
        <v>0</v>
      </c>
      <c r="O90" s="15">
        <f>IF(COUNT(N85:N90)&lt;6,SUM(N85:N90),SUM(N85:N90)-MIN(N85:N90))</f>
        <v>879</v>
      </c>
      <c r="P90" s="8" t="s">
        <v>11</v>
      </c>
    </row>
    <row r="91" spans="1:16" ht="16.5" thickTop="1" thickBot="1">
      <c r="A91" s="13" t="str">
        <f>szkoły!A26</f>
        <v>SP18 Płock</v>
      </c>
      <c r="B91" s="113" t="s">
        <v>6</v>
      </c>
      <c r="C91" s="25" t="s">
        <v>3</v>
      </c>
      <c r="D91" s="27" t="s">
        <v>7</v>
      </c>
      <c r="E91" s="28" t="s">
        <v>8</v>
      </c>
      <c r="F91" s="27" t="s">
        <v>7</v>
      </c>
      <c r="G91" s="27" t="s">
        <v>5</v>
      </c>
      <c r="H91" s="27" t="s">
        <v>7</v>
      </c>
      <c r="I91" s="27" t="s">
        <v>0</v>
      </c>
      <c r="J91" s="27" t="s">
        <v>7</v>
      </c>
      <c r="K91" s="29" t="s">
        <v>2</v>
      </c>
      <c r="L91" s="27" t="s">
        <v>7</v>
      </c>
      <c r="M91" s="26" t="s">
        <v>9</v>
      </c>
      <c r="N91" s="26" t="s">
        <v>10</v>
      </c>
      <c r="O91" s="14"/>
      <c r="P91" s="9"/>
    </row>
    <row r="92" spans="1:16" ht="18" thickTop="1" thickBot="1">
      <c r="A92" s="7"/>
      <c r="B92" s="114" t="str">
        <f>szkoły!A27</f>
        <v>Kołodziej Adam</v>
      </c>
      <c r="C92" s="103">
        <v>9.09</v>
      </c>
      <c r="D92" s="104">
        <f>IF(C92&gt;="",0,IF(C92&gt;=11.61,0,IF(C92&lt;6.91,(200+(6.91-C92)*100),VLOOKUP(-C92,baza!$E:$F,2,1))))</f>
        <v>51</v>
      </c>
      <c r="E92" s="103">
        <v>35</v>
      </c>
      <c r="F92" s="104">
        <f>IF(E92&lt;18,0,IF(E92&gt;104,(200+(E92-104)*4),VLOOKUP(E92,baza!$C$3:$F$202,4,1)))</f>
        <v>35</v>
      </c>
      <c r="G92" s="105"/>
      <c r="H92" s="104">
        <f>IF(G92&lt;baza!$I$202,0,IF(G92&gt;baza!$I$3,(200+(G92-206)*2),VLOOKUP(G92,baza!$I:$J,2,0)))</f>
        <v>0</v>
      </c>
      <c r="I92" s="105">
        <v>456</v>
      </c>
      <c r="J92" s="104">
        <f>IF(I92&lt;210,0,IF(I92&gt;712,(200+I92-712),VLOOKUP(I92,baza!$B$3:$F$202,5,1)))</f>
        <v>59</v>
      </c>
      <c r="K92" s="106">
        <v>353.36</v>
      </c>
      <c r="L92" s="104">
        <f>IF(K92="",0,IF(K92&gt;(-1*baza!$D$3),0,IF(K92&lt;232.3,INT(200+(232.3-K92)*3),VLOOKUP(-K92,baza!$D$1:$F$203,3,1))))</f>
        <v>31</v>
      </c>
      <c r="M92" s="107">
        <f t="shared" ref="M92:M97" si="24">(D92+F92+H92+J92)</f>
        <v>145</v>
      </c>
      <c r="N92" s="108">
        <f t="shared" ref="N92:N97" si="25">M92+L92</f>
        <v>176</v>
      </c>
      <c r="O92" s="14"/>
      <c r="P92" s="9"/>
    </row>
    <row r="93" spans="1:16" ht="18" thickTop="1" thickBot="1">
      <c r="A93" s="30" t="str">
        <f>O96 &amp;"  " &amp;"I dzień"</f>
        <v>804  I dzień</v>
      </c>
      <c r="B93" s="114" t="str">
        <f>szkoły!A28</f>
        <v>Leszczyński Kacper</v>
      </c>
      <c r="C93" s="103">
        <v>8.77</v>
      </c>
      <c r="D93" s="104">
        <f>IF(C93&gt;="",0,IF(C93&gt;=11.61,0,IF(C93&lt;6.91,(200+(6.91-C93)*100),VLOOKUP(-C93,baza!$E:$F,2,1))))</f>
        <v>62</v>
      </c>
      <c r="E93" s="103">
        <v>34</v>
      </c>
      <c r="F93" s="104">
        <f>IF(E93&lt;18,0,IF(E93&gt;104,(200+(E93-104)*4),VLOOKUP(E93,baza!$C$3:$F$202,4,1)))</f>
        <v>33</v>
      </c>
      <c r="G93" s="105"/>
      <c r="H93" s="104">
        <f>IF(G93&lt;baza!$I$202,0,IF(G93&gt;baza!$I$3,(200+(G93-206)*2),VLOOKUP(G93,baza!$I:$J,2,0)))</f>
        <v>0</v>
      </c>
      <c r="I93" s="105">
        <v>472</v>
      </c>
      <c r="J93" s="104">
        <f>IF(I93&lt;210,0,IF(I93&gt;712,(200+I93-712),VLOOKUP(I93,baza!$B$3:$F$202,5,1)))</f>
        <v>65</v>
      </c>
      <c r="K93" s="106">
        <v>335.99</v>
      </c>
      <c r="L93" s="104">
        <f>IF(K93="",0,IF(K93&gt;(-1*baza!$D$3),0,IF(K93&lt;232.3,INT(200+(232.3-K93)*3),VLOOKUP(-K93,baza!$D$1:$F$203,3,1))))</f>
        <v>48</v>
      </c>
      <c r="M93" s="107">
        <f t="shared" si="24"/>
        <v>160</v>
      </c>
      <c r="N93" s="108">
        <f t="shared" si="25"/>
        <v>208</v>
      </c>
      <c r="O93" s="14"/>
      <c r="P93" s="9"/>
    </row>
    <row r="94" spans="1:16" ht="18" thickTop="1" thickBot="1">
      <c r="A94" s="30" t="str">
        <f>O97 &amp;"  " &amp;"II dzień"</f>
        <v>899  II dzień</v>
      </c>
      <c r="B94" s="114" t="str">
        <f>szkoły!A29</f>
        <v>Lewandowski Bartosz</v>
      </c>
      <c r="C94" s="103">
        <v>9.02</v>
      </c>
      <c r="D94" s="104">
        <f>IF(C94&gt;="",0,IF(C94&gt;=11.61,0,IF(C94&lt;6.91,(200+(6.91-C94)*100),VLOOKUP(-C94,baza!$E:$F,2,1))))</f>
        <v>54</v>
      </c>
      <c r="E94" s="103">
        <v>39</v>
      </c>
      <c r="F94" s="104">
        <f>IF(E94&lt;18,0,IF(E94&gt;104,(200+(E94-104)*4),VLOOKUP(E94,baza!$C$3:$F$202,4,1)))</f>
        <v>43</v>
      </c>
      <c r="G94" s="105"/>
      <c r="H94" s="104">
        <f>IF(G94&lt;baza!$I$202,0,IF(G94&gt;baza!$I$3,(200+(G94-206)*2),VLOOKUP(G94,baza!$I:$J,2,0)))</f>
        <v>0</v>
      </c>
      <c r="I94" s="105">
        <v>401</v>
      </c>
      <c r="J94" s="104">
        <f>IF(I94&lt;210,0,IF(I94&gt;712,(200+I94-712),VLOOKUP(I94,baza!$B$3:$F$202,5,1)))</f>
        <v>41</v>
      </c>
      <c r="K94" s="106">
        <v>347.81</v>
      </c>
      <c r="L94" s="104">
        <f>IF(K94="",0,IF(K94&gt;(-1*baza!$D$3),0,IF(K94&lt;232.3,INT(200+(232.3-K94)*3),VLOOKUP(-K94,baza!$D$1:$F$203,3,1))))</f>
        <v>36</v>
      </c>
      <c r="M94" s="107">
        <f t="shared" si="24"/>
        <v>138</v>
      </c>
      <c r="N94" s="108">
        <f t="shared" si="25"/>
        <v>174</v>
      </c>
      <c r="O94" s="14"/>
      <c r="P94" s="9"/>
    </row>
    <row r="95" spans="1:16" ht="18" thickTop="1" thickBot="1">
      <c r="A95" s="7"/>
      <c r="B95" s="114" t="str">
        <f>szkoły!A30</f>
        <v>Michalski Piotr</v>
      </c>
      <c r="C95" s="103">
        <v>8.8800000000000008</v>
      </c>
      <c r="D95" s="104">
        <f>IF(C95&gt;="",0,IF(C95&gt;=11.61,0,IF(C95&lt;6.91,(200+(6.91-C95)*100),VLOOKUP(-C95,baza!$E:$F,2,1))))</f>
        <v>58</v>
      </c>
      <c r="E95" s="103">
        <v>44</v>
      </c>
      <c r="F95" s="104">
        <f>IF(E95&lt;18,0,IF(E95&gt;104,(200+(E95-104)*4),VLOOKUP(E95,baza!$C$3:$F$202,4,1)))</f>
        <v>53</v>
      </c>
      <c r="G95" s="105"/>
      <c r="H95" s="104">
        <f>IF(G95&lt;baza!$I$202,0,IF(G95&gt;baza!$I$3,(200+(G95-206)*2),VLOOKUP(G95,baza!$I:$J,2,0)))</f>
        <v>0</v>
      </c>
      <c r="I95" s="105">
        <v>467</v>
      </c>
      <c r="J95" s="104">
        <f>IF(I95&lt;210,0,IF(I95&gt;712,(200+I95-712),VLOOKUP(I95,baza!$B$3:$F$202,5,1)))</f>
        <v>63</v>
      </c>
      <c r="K95" s="106">
        <v>400.75</v>
      </c>
      <c r="L95" s="104">
        <f>IF(K95="",0,IF(K95&gt;(-1*baza!$D$3),0,IF(K95&lt;232.3,INT(200+(232.3-K95)*3),VLOOKUP(-K95,baza!$D$1:$F$203,3,1))))</f>
        <v>25</v>
      </c>
      <c r="M95" s="107">
        <f t="shared" si="24"/>
        <v>174</v>
      </c>
      <c r="N95" s="108">
        <f t="shared" si="25"/>
        <v>199</v>
      </c>
      <c r="O95" s="14"/>
      <c r="P95" s="9"/>
    </row>
    <row r="96" spans="1:16" ht="18" thickTop="1" thickBot="1">
      <c r="A96" s="7"/>
      <c r="B96" s="114" t="str">
        <f>szkoły!A31</f>
        <v>Olichwiruk Piotr</v>
      </c>
      <c r="C96" s="103">
        <v>9.44</v>
      </c>
      <c r="D96" s="104">
        <f>IF(C96&gt;="",0,IF(C96&gt;=11.61,0,IF(C96&lt;6.91,(200+(6.91-C96)*100),VLOOKUP(-C96,baza!$E:$F,2,1))))</f>
        <v>40</v>
      </c>
      <c r="E96" s="103">
        <v>29.5</v>
      </c>
      <c r="F96" s="104">
        <f>IF(E96&lt;18,0,IF(E96&gt;104,(200+(E96-104)*4),VLOOKUP(E96,baza!$C$3:$F$202,4,1)))</f>
        <v>24</v>
      </c>
      <c r="G96" s="105"/>
      <c r="H96" s="104">
        <f>IF(G96&lt;baza!$I$202,0,IF(G96&gt;baza!$I$3,(200+(G96-206)*2),VLOOKUP(G96,baza!$I:$J,2,0)))</f>
        <v>0</v>
      </c>
      <c r="I96" s="105">
        <v>400</v>
      </c>
      <c r="J96" s="104">
        <f>IF(I96&lt;210,0,IF(I96&gt;712,(200+I96-712),VLOOKUP(I96,baza!$B$3:$F$202,5,1)))</f>
        <v>41</v>
      </c>
      <c r="K96" s="106">
        <v>346.82</v>
      </c>
      <c r="L96" s="104">
        <f>IF(K96="",0,IF(K96&gt;(-1*baza!$D$3),0,IF(K96&lt;232.3,INT(200+(232.3-K96)*3),VLOOKUP(-K96,baza!$D$1:$F$203,3,1))))</f>
        <v>37</v>
      </c>
      <c r="M96" s="107">
        <f t="shared" si="24"/>
        <v>105</v>
      </c>
      <c r="N96" s="108">
        <f t="shared" si="25"/>
        <v>142</v>
      </c>
      <c r="O96" s="15">
        <f>SUM(M92:M97)</f>
        <v>804</v>
      </c>
      <c r="P96" s="8" t="s">
        <v>9</v>
      </c>
    </row>
    <row r="97" spans="1:16" ht="18" thickTop="1" thickBot="1">
      <c r="A97" s="7"/>
      <c r="B97" s="114" t="str">
        <f>szkoły!A32</f>
        <v>Płachecki Sebastian</v>
      </c>
      <c r="C97" s="103">
        <v>10</v>
      </c>
      <c r="D97" s="104">
        <f>IF(C97&gt;="",0,IF(C97&gt;=11.61,0,IF(C97&lt;6.91,(200+(6.91-C97)*100),VLOOKUP(-C97,baza!$E:$F,2,1))))</f>
        <v>28</v>
      </c>
      <c r="E97" s="103">
        <v>27</v>
      </c>
      <c r="F97" s="104">
        <f>IF(E97&lt;18,0,IF(E97&gt;104,(200+(E97-104)*4),VLOOKUP(E97,baza!$C$3:$F$202,4,1)))</f>
        <v>19</v>
      </c>
      <c r="G97" s="105"/>
      <c r="H97" s="104">
        <f>IF(G97&lt;baza!$I$202,0,IF(G97&gt;baza!$I$3,(200+(G97-206)*2),VLOOKUP(G97,baza!$I:$J,2,0)))</f>
        <v>0</v>
      </c>
      <c r="I97" s="105">
        <v>382</v>
      </c>
      <c r="J97" s="104">
        <f>IF(I97&lt;210,0,IF(I97&gt;712,(200+I97-712),VLOOKUP(I97,baza!$B$3:$F$202,5,1)))</f>
        <v>35</v>
      </c>
      <c r="K97" s="106">
        <v>426.5</v>
      </c>
      <c r="L97" s="104">
        <f>IF(K97="",0,IF(K97&gt;(-1*baza!$D$3),0,IF(K97&lt;232.3,INT(200+(232.3-K97)*3),VLOOKUP(-K97,baza!$D$1:$F$203,3,1))))</f>
        <v>8</v>
      </c>
      <c r="M97" s="107">
        <f t="shared" si="24"/>
        <v>82</v>
      </c>
      <c r="N97" s="108">
        <f t="shared" si="25"/>
        <v>90</v>
      </c>
      <c r="O97" s="15">
        <f>IF(COUNT(N92:N97)&lt;6,SUM(N92:N97),SUM(N92:N97)-MIN(N92:N97))</f>
        <v>899</v>
      </c>
      <c r="P97" s="8" t="s">
        <v>11</v>
      </c>
    </row>
    <row r="98" spans="1:16" ht="16.5" thickTop="1" thickBot="1">
      <c r="A98" s="13">
        <f>szkoły!B26</f>
        <v>0</v>
      </c>
      <c r="B98" s="113" t="s">
        <v>6</v>
      </c>
      <c r="C98" s="25" t="s">
        <v>3</v>
      </c>
      <c r="D98" s="27" t="s">
        <v>7</v>
      </c>
      <c r="E98" s="28" t="s">
        <v>8</v>
      </c>
      <c r="F98" s="27" t="s">
        <v>7</v>
      </c>
      <c r="G98" s="27" t="s">
        <v>5</v>
      </c>
      <c r="H98" s="27" t="s">
        <v>7</v>
      </c>
      <c r="I98" s="27" t="s">
        <v>0</v>
      </c>
      <c r="J98" s="27" t="s">
        <v>7</v>
      </c>
      <c r="K98" s="29" t="s">
        <v>2</v>
      </c>
      <c r="L98" s="27" t="s">
        <v>7</v>
      </c>
      <c r="M98" s="26" t="s">
        <v>9</v>
      </c>
      <c r="N98" s="26" t="s">
        <v>10</v>
      </c>
      <c r="O98" s="14"/>
      <c r="P98" s="9"/>
    </row>
    <row r="99" spans="1:16" ht="18" thickTop="1" thickBot="1">
      <c r="A99" s="10"/>
      <c r="B99" s="114">
        <f>szkoły!B27</f>
        <v>0</v>
      </c>
      <c r="C99" s="103"/>
      <c r="D99" s="104">
        <f>IF(C99&gt;="",0,IF(C99&gt;=11.61,0,IF(C99&lt;6.91,(200+(6.91-C99)*100),VLOOKUP(-C99,baza!$E:$F,2,1))))</f>
        <v>0</v>
      </c>
      <c r="E99" s="103"/>
      <c r="F99" s="104">
        <f>IF(E99&lt;18,0,IF(E99&gt;104,(200+(E99-104)*4),VLOOKUP(E99,baza!$C$3:$F$202,4,1)))</f>
        <v>0</v>
      </c>
      <c r="G99" s="105"/>
      <c r="H99" s="104">
        <f>IF(G99&lt;baza!$I$202,0,IF(G99&gt;baza!$I$3,(200+(G99-206)*2),VLOOKUP(G99,baza!$I:$J,2,0)))</f>
        <v>0</v>
      </c>
      <c r="I99" s="105"/>
      <c r="J99" s="104">
        <f>IF(I99&lt;210,0,IF(I99&gt;712,(200+I99-712),VLOOKUP(I99,baza!$B$3:$F$202,5,1)))</f>
        <v>0</v>
      </c>
      <c r="K99" s="106"/>
      <c r="L99" s="104">
        <f>IF(K99="",0,IF(K99&gt;(-1*baza!$D$3),0,IF(K99&lt;232.3,INT(200+(232.3-K99)*3),VLOOKUP(-K99,baza!$D$1:$F$203,3,1))))</f>
        <v>0</v>
      </c>
      <c r="M99" s="107">
        <f t="shared" ref="M99:M104" si="26">(D99+F99+H99+J99)</f>
        <v>0</v>
      </c>
      <c r="N99" s="108">
        <f t="shared" ref="N99:N104" si="27">M99+L99</f>
        <v>0</v>
      </c>
      <c r="O99" s="14"/>
      <c r="P99" s="9"/>
    </row>
    <row r="100" spans="1:16" ht="18" thickTop="1" thickBot="1">
      <c r="A100" s="30" t="str">
        <f>O103 &amp;"  " &amp;"I dzień"</f>
        <v>0  I dzień</v>
      </c>
      <c r="B100" s="114">
        <f>szkoły!B28</f>
        <v>0</v>
      </c>
      <c r="C100" s="103"/>
      <c r="D100" s="104">
        <f>IF(C100&gt;="",0,IF(C100&gt;=11.61,0,IF(C100&lt;6.91,(200+(6.91-C100)*100),VLOOKUP(-C100,baza!$E:$F,2,1))))</f>
        <v>0</v>
      </c>
      <c r="E100" s="103"/>
      <c r="F100" s="104">
        <f>IF(E100&lt;18,0,IF(E100&gt;104,(200+(E100-104)*4),VLOOKUP(E100,baza!$C$3:$F$202,4,1)))</f>
        <v>0</v>
      </c>
      <c r="G100" s="105"/>
      <c r="H100" s="104">
        <f>IF(G100&lt;baza!$I$202,0,IF(G100&gt;baza!$I$3,(200+(G100-206)*2),VLOOKUP(G100,baza!$I:$J,2,0)))</f>
        <v>0</v>
      </c>
      <c r="I100" s="105"/>
      <c r="J100" s="104">
        <f>IF(I100&lt;210,0,IF(I100&gt;712,(200+I100-712),VLOOKUP(I100,baza!$B$3:$F$202,5,1)))</f>
        <v>0</v>
      </c>
      <c r="K100" s="106"/>
      <c r="L100" s="104">
        <f>IF(K100="",0,IF(K100&gt;(-1*baza!$D$3),0,IF(K100&lt;232.3,INT(200+(232.3-K100)*3),VLOOKUP(-K100,baza!$D$1:$F$203,3,1))))</f>
        <v>0</v>
      </c>
      <c r="M100" s="107">
        <f t="shared" si="26"/>
        <v>0</v>
      </c>
      <c r="N100" s="108">
        <f t="shared" si="27"/>
        <v>0</v>
      </c>
      <c r="O100" s="14"/>
      <c r="P100" s="9"/>
    </row>
    <row r="101" spans="1:16" ht="18" thickTop="1" thickBot="1">
      <c r="A101" s="30" t="str">
        <f>O104 &amp;"  " &amp;"II dzień"</f>
        <v>0  II dzień</v>
      </c>
      <c r="B101" s="114">
        <f>szkoły!B29</f>
        <v>0</v>
      </c>
      <c r="C101" s="103"/>
      <c r="D101" s="104">
        <f>IF(C101&gt;="",0,IF(C101&gt;=11.61,0,IF(C101&lt;6.91,(200+(6.91-C101)*100),VLOOKUP(-C101,baza!$E:$F,2,1))))</f>
        <v>0</v>
      </c>
      <c r="E101" s="103"/>
      <c r="F101" s="104">
        <f>IF(E101&lt;18,0,IF(E101&gt;104,(200+(E101-104)*4),VLOOKUP(E101,baza!$C$3:$F$202,4,1)))</f>
        <v>0</v>
      </c>
      <c r="G101" s="105"/>
      <c r="H101" s="104">
        <f>IF(G101&lt;baza!$I$202,0,IF(G101&gt;baza!$I$3,(200+(G101-206)*2),VLOOKUP(G101,baza!$I:$J,2,0)))</f>
        <v>0</v>
      </c>
      <c r="I101" s="105"/>
      <c r="J101" s="104">
        <f>IF(I101&lt;210,0,IF(I101&gt;712,(200+I101-712),VLOOKUP(I101,baza!$B$3:$F$202,5,1)))</f>
        <v>0</v>
      </c>
      <c r="K101" s="106"/>
      <c r="L101" s="104">
        <f>IF(K101="",0,IF(K101&gt;(-1*baza!$D$3),0,IF(K101&lt;232.3,INT(200+(232.3-K101)*3),VLOOKUP(-K101,baza!$D$1:$F$203,3,1))))</f>
        <v>0</v>
      </c>
      <c r="M101" s="107">
        <f t="shared" si="26"/>
        <v>0</v>
      </c>
      <c r="N101" s="108">
        <f t="shared" si="27"/>
        <v>0</v>
      </c>
      <c r="O101" s="14"/>
      <c r="P101" s="9"/>
    </row>
    <row r="102" spans="1:16" ht="18" thickTop="1" thickBot="1">
      <c r="A102" s="10"/>
      <c r="B102" s="114">
        <f>szkoły!B30</f>
        <v>0</v>
      </c>
      <c r="C102" s="103"/>
      <c r="D102" s="104">
        <f>IF(C102&gt;="",0,IF(C102&gt;=11.61,0,IF(C102&lt;6.91,(200+(6.91-C102)*100),VLOOKUP(-C102,baza!$E:$F,2,1))))</f>
        <v>0</v>
      </c>
      <c r="E102" s="103"/>
      <c r="F102" s="104">
        <f>IF(E102&lt;18,0,IF(E102&gt;104,(200+(E102-104)*4),VLOOKUP(E102,baza!$C$3:$F$202,4,1)))</f>
        <v>0</v>
      </c>
      <c r="G102" s="105"/>
      <c r="H102" s="104">
        <f>IF(G102&lt;baza!$I$202,0,IF(G102&gt;baza!$I$3,(200+(G102-206)*2),VLOOKUP(G102,baza!$I:$J,2,0)))</f>
        <v>0</v>
      </c>
      <c r="I102" s="105"/>
      <c r="J102" s="104">
        <f>IF(I102&lt;210,0,IF(I102&gt;712,(200+I102-712),VLOOKUP(I102,baza!$B$3:$F$202,5,1)))</f>
        <v>0</v>
      </c>
      <c r="K102" s="106"/>
      <c r="L102" s="104">
        <f>IF(K102="",0,IF(K102&gt;(-1*baza!$D$3),0,IF(K102&lt;232.3,INT(200+(232.3-K102)*3),VLOOKUP(-K102,baza!$D$1:$F$203,3,1))))</f>
        <v>0</v>
      </c>
      <c r="M102" s="107">
        <f t="shared" si="26"/>
        <v>0</v>
      </c>
      <c r="N102" s="108">
        <f t="shared" si="27"/>
        <v>0</v>
      </c>
      <c r="O102" s="14"/>
      <c r="P102" s="9"/>
    </row>
    <row r="103" spans="1:16" ht="18" thickTop="1" thickBot="1">
      <c r="A103" s="10"/>
      <c r="B103" s="114">
        <f>szkoły!B31</f>
        <v>0</v>
      </c>
      <c r="C103" s="103"/>
      <c r="D103" s="104">
        <f>IF(C103&gt;="",0,IF(C103&gt;=11.61,0,IF(C103&lt;6.91,(200+(6.91-C103)*100),VLOOKUP(-C103,baza!$E:$F,2,1))))</f>
        <v>0</v>
      </c>
      <c r="E103" s="103"/>
      <c r="F103" s="104">
        <f>IF(E103&lt;18,0,IF(E103&gt;104,(200+(E103-104)*4),VLOOKUP(E103,baza!$C$3:$F$202,4,1)))</f>
        <v>0</v>
      </c>
      <c r="G103" s="105"/>
      <c r="H103" s="104">
        <f>IF(G103&lt;baza!$I$202,0,IF(G103&gt;baza!$I$3,(200+(G103-206)*2),VLOOKUP(G103,baza!$I:$J,2,0)))</f>
        <v>0</v>
      </c>
      <c r="I103" s="105"/>
      <c r="J103" s="104">
        <f>IF(I103&lt;210,0,IF(I103&gt;712,(200+I103-712),VLOOKUP(I103,baza!$B$3:$F$202,5,1)))</f>
        <v>0</v>
      </c>
      <c r="K103" s="106"/>
      <c r="L103" s="104">
        <f>IF(K103="",0,IF(K103&gt;(-1*baza!$D$3),0,IF(K103&lt;232.3,INT(200+(232.3-K103)*3),VLOOKUP(-K103,baza!$D$1:$F$203,3,1))))</f>
        <v>0</v>
      </c>
      <c r="M103" s="107">
        <f t="shared" si="26"/>
        <v>0</v>
      </c>
      <c r="N103" s="108">
        <f t="shared" si="27"/>
        <v>0</v>
      </c>
      <c r="O103" s="15">
        <f>SUM(M99:M104)</f>
        <v>0</v>
      </c>
      <c r="P103" s="8" t="s">
        <v>9</v>
      </c>
    </row>
    <row r="104" spans="1:16" ht="18" thickTop="1" thickBot="1">
      <c r="A104" s="10"/>
      <c r="B104" s="114">
        <f>szkoły!B32</f>
        <v>0</v>
      </c>
      <c r="C104" s="103"/>
      <c r="D104" s="104">
        <f>IF(C104&gt;="",0,IF(C104&gt;=11.61,0,IF(C104&lt;6.91,(200+(6.91-C104)*100),VLOOKUP(-C104,baza!$E:$F,2,1))))</f>
        <v>0</v>
      </c>
      <c r="E104" s="103"/>
      <c r="F104" s="104">
        <f>IF(E104&lt;18,0,IF(E104&gt;104,(200+(E104-104)*4),VLOOKUP(E104,baza!$C$3:$F$202,4,1)))</f>
        <v>0</v>
      </c>
      <c r="G104" s="105"/>
      <c r="H104" s="104">
        <f>IF(G104&lt;baza!$I$202,0,IF(G104&gt;baza!$I$3,(200+(G104-206)*2),VLOOKUP(G104,baza!$I:$J,2,0)))</f>
        <v>0</v>
      </c>
      <c r="I104" s="105"/>
      <c r="J104" s="104">
        <f>IF(I104&lt;210,0,IF(I104&gt;712,(200+I104-712),VLOOKUP(I104,baza!$B$3:$F$202,5,1)))</f>
        <v>0</v>
      </c>
      <c r="K104" s="106"/>
      <c r="L104" s="104">
        <f>IF(K104="",0,IF(K104&gt;(-1*baza!$D$3),0,IF(K104&lt;232.3,INT(200+(232.3-K104)*3),VLOOKUP(-K104,baza!$D$1:$F$203,3,1))))</f>
        <v>0</v>
      </c>
      <c r="M104" s="107">
        <f t="shared" si="26"/>
        <v>0</v>
      </c>
      <c r="N104" s="108">
        <f t="shared" si="27"/>
        <v>0</v>
      </c>
      <c r="O104" s="15">
        <f>IF(COUNT(N99:N104)&lt;6,SUM(N99:N104),SUM(N99:N104)-MIN(N99:N104))</f>
        <v>0</v>
      </c>
      <c r="P104" s="8" t="s">
        <v>11</v>
      </c>
    </row>
    <row r="105" spans="1:16" ht="16.5" thickTop="1" thickBot="1">
      <c r="A105" s="13">
        <f>szkoły!C26</f>
        <v>0</v>
      </c>
      <c r="B105" s="113" t="s">
        <v>6</v>
      </c>
      <c r="C105" s="25" t="s">
        <v>3</v>
      </c>
      <c r="D105" s="27" t="s">
        <v>7</v>
      </c>
      <c r="E105" s="28" t="s">
        <v>8</v>
      </c>
      <c r="F105" s="27" t="s">
        <v>7</v>
      </c>
      <c r="G105" s="27" t="s">
        <v>5</v>
      </c>
      <c r="H105" s="27" t="s">
        <v>7</v>
      </c>
      <c r="I105" s="27" t="s">
        <v>0</v>
      </c>
      <c r="J105" s="27" t="s">
        <v>7</v>
      </c>
      <c r="K105" s="29" t="s">
        <v>2</v>
      </c>
      <c r="L105" s="27" t="s">
        <v>7</v>
      </c>
      <c r="M105" s="26" t="s">
        <v>9</v>
      </c>
      <c r="N105" s="26" t="s">
        <v>10</v>
      </c>
      <c r="O105" s="14"/>
      <c r="P105" s="9"/>
    </row>
    <row r="106" spans="1:16" ht="18" thickTop="1" thickBot="1">
      <c r="A106" s="7"/>
      <c r="B106" s="114">
        <f>szkoły!C27</f>
        <v>0</v>
      </c>
      <c r="C106" s="103"/>
      <c r="D106" s="104">
        <f>IF(C106&gt;="",0,IF(C106&gt;=11.61,0,IF(C106&lt;6.91,(200+(6.91-C106)*100),VLOOKUP(-C106,baza!$E:$F,2,1))))</f>
        <v>0</v>
      </c>
      <c r="E106" s="103"/>
      <c r="F106" s="104">
        <f>IF(E106&lt;18,0,IF(E106&gt;104,(200+(E106-104)*4),VLOOKUP(E106,baza!$C$3:$F$202,4,1)))</f>
        <v>0</v>
      </c>
      <c r="G106" s="105"/>
      <c r="H106" s="104">
        <f>IF(G106&lt;baza!$I$202,0,IF(G106&gt;baza!$I$3,(200+(G106-206)*2),VLOOKUP(G106,baza!$I:$J,2,0)))</f>
        <v>0</v>
      </c>
      <c r="I106" s="105"/>
      <c r="J106" s="104">
        <f>IF(I106&lt;210,0,IF(I106&gt;712,(200+I106-712),VLOOKUP(I106,baza!$B$3:$F$202,5,1)))</f>
        <v>0</v>
      </c>
      <c r="K106" s="106"/>
      <c r="L106" s="104">
        <f>IF(K106="",0,IF(K106&gt;(-1*baza!$D$3),0,IF(K106&lt;232.3,INT(200+(232.3-K106)*3),VLOOKUP(-K106,baza!$D$1:$F$203,3,1))))</f>
        <v>0</v>
      </c>
      <c r="M106" s="107">
        <f t="shared" ref="M106:M111" si="28">(D106+F106+H106+J106)</f>
        <v>0</v>
      </c>
      <c r="N106" s="108">
        <f t="shared" ref="N106:N111" si="29">M106+L106</f>
        <v>0</v>
      </c>
      <c r="O106" s="14"/>
      <c r="P106" s="9"/>
    </row>
    <row r="107" spans="1:16" ht="18" thickTop="1" thickBot="1">
      <c r="A107" s="30" t="str">
        <f>O110 &amp;"  " &amp;"I dzień"</f>
        <v>0  I dzień</v>
      </c>
      <c r="B107" s="114">
        <f>szkoły!C28</f>
        <v>0</v>
      </c>
      <c r="C107" s="103"/>
      <c r="D107" s="104">
        <f>IF(C107&gt;="",0,IF(C107&gt;=11.61,0,IF(C107&lt;6.91,(200+(6.91-C107)*100),VLOOKUP(-C107,baza!$E:$F,2,1))))</f>
        <v>0</v>
      </c>
      <c r="E107" s="103"/>
      <c r="F107" s="104">
        <f>IF(E107&lt;18,0,IF(E107&gt;104,(200+(E107-104)*4),VLOOKUP(E107,baza!$C$3:$F$202,4,1)))</f>
        <v>0</v>
      </c>
      <c r="G107" s="105"/>
      <c r="H107" s="104">
        <f>IF(G107&lt;baza!$I$202,0,IF(G107&gt;baza!$I$3,(200+(G107-206)*2),VLOOKUP(G107,baza!$I:$J,2,0)))</f>
        <v>0</v>
      </c>
      <c r="I107" s="105"/>
      <c r="J107" s="104">
        <f>IF(I107&lt;210,0,IF(I107&gt;712,(200+I107-712),VLOOKUP(I107,baza!$B$3:$F$202,5,1)))</f>
        <v>0</v>
      </c>
      <c r="K107" s="106"/>
      <c r="L107" s="104">
        <f>IF(K107="",0,IF(K107&gt;(-1*baza!$D$3),0,IF(K107&lt;232.3,INT(200+(232.3-K107)*3),VLOOKUP(-K107,baza!$D$1:$F$203,3,1))))</f>
        <v>0</v>
      </c>
      <c r="M107" s="107">
        <f t="shared" si="28"/>
        <v>0</v>
      </c>
      <c r="N107" s="108">
        <f t="shared" si="29"/>
        <v>0</v>
      </c>
      <c r="O107" s="14"/>
      <c r="P107" s="9"/>
    </row>
    <row r="108" spans="1:16" ht="18" thickTop="1" thickBot="1">
      <c r="A108" s="30" t="str">
        <f>O111 &amp;"  " &amp;"II dzień"</f>
        <v>0  II dzień</v>
      </c>
      <c r="B108" s="114">
        <f>szkoły!C29</f>
        <v>0</v>
      </c>
      <c r="C108" s="103"/>
      <c r="D108" s="104">
        <f>IF(C108&gt;="",0,IF(C108&gt;=11.61,0,IF(C108&lt;6.91,(200+(6.91-C108)*100),VLOOKUP(-C108,baza!$E:$F,2,1))))</f>
        <v>0</v>
      </c>
      <c r="E108" s="103"/>
      <c r="F108" s="104">
        <f>IF(E108&lt;18,0,IF(E108&gt;104,(200+(E108-104)*4),VLOOKUP(E108,baza!$C$3:$F$202,4,1)))</f>
        <v>0</v>
      </c>
      <c r="G108" s="105"/>
      <c r="H108" s="104">
        <f>IF(G108&lt;baza!$I$202,0,IF(G108&gt;baza!$I$3,(200+(G108-206)*2),VLOOKUP(G108,baza!$I:$J,2,0)))</f>
        <v>0</v>
      </c>
      <c r="I108" s="105"/>
      <c r="J108" s="104">
        <f>IF(I108&lt;210,0,IF(I108&gt;712,(200+I108-712),VLOOKUP(I108,baza!$B$3:$F$202,5,1)))</f>
        <v>0</v>
      </c>
      <c r="K108" s="106"/>
      <c r="L108" s="104">
        <f>IF(K108="",0,IF(K108&gt;(-1*baza!$D$3),0,IF(K108&lt;232.3,INT(200+(232.3-K108)*3),VLOOKUP(-K108,baza!$D$1:$F$203,3,1))))</f>
        <v>0</v>
      </c>
      <c r="M108" s="107">
        <f t="shared" si="28"/>
        <v>0</v>
      </c>
      <c r="N108" s="108">
        <f t="shared" si="29"/>
        <v>0</v>
      </c>
      <c r="O108" s="14"/>
      <c r="P108" s="9"/>
    </row>
    <row r="109" spans="1:16" ht="18" thickTop="1" thickBot="1">
      <c r="A109" s="7"/>
      <c r="B109" s="114">
        <f>szkoły!C30</f>
        <v>0</v>
      </c>
      <c r="C109" s="103"/>
      <c r="D109" s="104">
        <f>IF(C109&gt;="",0,IF(C109&gt;=11.61,0,IF(C109&lt;6.91,(200+(6.91-C109)*100),VLOOKUP(-C109,baza!$E:$F,2,1))))</f>
        <v>0</v>
      </c>
      <c r="E109" s="103"/>
      <c r="F109" s="104">
        <f>IF(E109&lt;18,0,IF(E109&gt;104,(200+(E109-104)*4),VLOOKUP(E109,baza!$C$3:$F$202,4,1)))</f>
        <v>0</v>
      </c>
      <c r="G109" s="105"/>
      <c r="H109" s="104">
        <f>IF(G109&lt;baza!$I$202,0,IF(G109&gt;baza!$I$3,(200+(G109-206)*2),VLOOKUP(G109,baza!$I:$J,2,0)))</f>
        <v>0</v>
      </c>
      <c r="I109" s="105"/>
      <c r="J109" s="104">
        <f>IF(I109&lt;210,0,IF(I109&gt;712,(200+I109-712),VLOOKUP(I109,baza!$B$3:$F$202,5,1)))</f>
        <v>0</v>
      </c>
      <c r="K109" s="106"/>
      <c r="L109" s="104">
        <f>IF(K109="",0,IF(K109&gt;(-1*baza!$D$3),0,IF(K109&lt;232.3,INT(200+(232.3-K109)*3),VLOOKUP(-K109,baza!$D$1:$F$203,3,1))))</f>
        <v>0</v>
      </c>
      <c r="M109" s="107">
        <f t="shared" si="28"/>
        <v>0</v>
      </c>
      <c r="N109" s="108">
        <f t="shared" si="29"/>
        <v>0</v>
      </c>
      <c r="O109" s="14"/>
      <c r="P109" s="9"/>
    </row>
    <row r="110" spans="1:16" ht="18" thickTop="1" thickBot="1">
      <c r="A110" s="7"/>
      <c r="B110" s="114">
        <f>szkoły!C31</f>
        <v>0</v>
      </c>
      <c r="C110" s="103"/>
      <c r="D110" s="104">
        <f>IF(C110&gt;="",0,IF(C110&gt;=11.61,0,IF(C110&lt;6.91,(200+(6.91-C110)*100),VLOOKUP(-C110,baza!$E:$F,2,1))))</f>
        <v>0</v>
      </c>
      <c r="E110" s="103"/>
      <c r="F110" s="104">
        <f>IF(E110&lt;18,0,IF(E110&gt;104,(200+(E110-104)*4),VLOOKUP(E110,baza!$C$3:$F$202,4,1)))</f>
        <v>0</v>
      </c>
      <c r="G110" s="105"/>
      <c r="H110" s="104">
        <f>IF(G110&lt;baza!$I$202,0,IF(G110&gt;baza!$I$3,(200+(G110-206)*2),VLOOKUP(G110,baza!$I:$J,2,0)))</f>
        <v>0</v>
      </c>
      <c r="I110" s="105"/>
      <c r="J110" s="104">
        <f>IF(I110&lt;210,0,IF(I110&gt;712,(200+I110-712),VLOOKUP(I110,baza!$B$3:$F$202,5,1)))</f>
        <v>0</v>
      </c>
      <c r="K110" s="106"/>
      <c r="L110" s="104">
        <f>IF(K110="",0,IF(K110&gt;(-1*baza!$D$3),0,IF(K110&lt;232.3,INT(200+(232.3-K110)*3),VLOOKUP(-K110,baza!$D$1:$F$203,3,1))))</f>
        <v>0</v>
      </c>
      <c r="M110" s="107">
        <f t="shared" si="28"/>
        <v>0</v>
      </c>
      <c r="N110" s="108">
        <f t="shared" si="29"/>
        <v>0</v>
      </c>
      <c r="O110" s="15">
        <f>SUM(M106:M111)</f>
        <v>0</v>
      </c>
      <c r="P110" s="8" t="s">
        <v>9</v>
      </c>
    </row>
    <row r="111" spans="1:16" ht="18" thickTop="1" thickBot="1">
      <c r="A111" s="7"/>
      <c r="B111" s="114">
        <f>szkoły!C32</f>
        <v>0</v>
      </c>
      <c r="C111" s="103"/>
      <c r="D111" s="104">
        <f>IF(C111&gt;="",0,IF(C111&gt;=11.61,0,IF(C111&lt;6.91,(200+(6.91-C111)*100),VLOOKUP(-C111,baza!$E:$F,2,1))))</f>
        <v>0</v>
      </c>
      <c r="E111" s="103"/>
      <c r="F111" s="104">
        <f>IF(E111&lt;18,0,IF(E111&gt;104,(200+(E111-104)*4),VLOOKUP(E111,baza!$C$3:$F$202,4,1)))</f>
        <v>0</v>
      </c>
      <c r="G111" s="105"/>
      <c r="H111" s="104">
        <f>IF(G111&lt;baza!$I$202,0,IF(G111&gt;baza!$I$3,(200+(G111-206)*2),VLOOKUP(G111,baza!$I:$J,2,0)))</f>
        <v>0</v>
      </c>
      <c r="I111" s="105"/>
      <c r="J111" s="104">
        <f>IF(I111&lt;210,0,IF(I111&gt;712,(200+I111-712),VLOOKUP(I111,baza!$B$3:$F$202,5,1)))</f>
        <v>0</v>
      </c>
      <c r="K111" s="106"/>
      <c r="L111" s="104">
        <f>IF(K111="",0,IF(K111&gt;(-1*baza!$D$3),0,IF(K111&lt;232.3,INT(200+(232.3-K111)*3),VLOOKUP(-K111,baza!$D$1:$F$203,3,1))))</f>
        <v>0</v>
      </c>
      <c r="M111" s="107">
        <f t="shared" si="28"/>
        <v>0</v>
      </c>
      <c r="N111" s="108">
        <f t="shared" si="29"/>
        <v>0</v>
      </c>
      <c r="O111" s="15">
        <f>IF(COUNT(N106:N111)&lt;6,SUM(N106:N111),SUM(N106:N111)-MIN(N106:N111))</f>
        <v>0</v>
      </c>
      <c r="P111" s="8" t="s">
        <v>11</v>
      </c>
    </row>
    <row r="112" spans="1:16" ht="16.5" thickTop="1" thickBot="1">
      <c r="A112" s="13">
        <f>szkoły!D26</f>
        <v>0</v>
      </c>
      <c r="B112" s="113" t="s">
        <v>6</v>
      </c>
      <c r="C112" s="25" t="s">
        <v>3</v>
      </c>
      <c r="D112" s="27" t="s">
        <v>7</v>
      </c>
      <c r="E112" s="28" t="s">
        <v>8</v>
      </c>
      <c r="F112" s="27" t="s">
        <v>7</v>
      </c>
      <c r="G112" s="27" t="s">
        <v>5</v>
      </c>
      <c r="H112" s="27" t="s">
        <v>7</v>
      </c>
      <c r="I112" s="27" t="s">
        <v>0</v>
      </c>
      <c r="J112" s="27" t="s">
        <v>7</v>
      </c>
      <c r="K112" s="29" t="s">
        <v>2</v>
      </c>
      <c r="L112" s="27" t="s">
        <v>7</v>
      </c>
      <c r="M112" s="26" t="s">
        <v>9</v>
      </c>
      <c r="N112" s="26" t="s">
        <v>10</v>
      </c>
      <c r="O112" s="14"/>
      <c r="P112" s="9"/>
    </row>
    <row r="113" spans="1:16" ht="18" thickTop="1" thickBot="1">
      <c r="A113" s="10"/>
      <c r="B113" s="114">
        <f>szkoły!D27</f>
        <v>0</v>
      </c>
      <c r="C113" s="103"/>
      <c r="D113" s="104">
        <f>IF(C113&gt;="",0,IF(C113&gt;=11.61,0,IF(C113&lt;6.91,(200+(6.91-C113)*100),VLOOKUP(-C113,baza!$E:$F,2,1))))</f>
        <v>0</v>
      </c>
      <c r="E113" s="103"/>
      <c r="F113" s="104">
        <f>IF(E113&lt;18,0,IF(E113&gt;104,(200+(E113-104)*4),VLOOKUP(E113,baza!$C$3:$F$202,4,1)))</f>
        <v>0</v>
      </c>
      <c r="G113" s="105"/>
      <c r="H113" s="104">
        <f>IF(G113&lt;baza!$I$202,0,IF(G113&gt;baza!$I$3,(200+(G113-206)*2),VLOOKUP(G113,baza!$I:$J,2,0)))</f>
        <v>0</v>
      </c>
      <c r="I113" s="105"/>
      <c r="J113" s="104">
        <f>IF(I113&lt;210,0,IF(I113&gt;712,(200+I113-712),VLOOKUP(I113,baza!$B$3:$F$202,5,1)))</f>
        <v>0</v>
      </c>
      <c r="K113" s="106"/>
      <c r="L113" s="104">
        <f>IF(K113="",0,IF(K113&gt;(-1*baza!$D$3),0,IF(K113&lt;232.3,INT(200+(232.3-K113)*3),VLOOKUP(-K113,baza!$D$1:$F$203,3,1))))</f>
        <v>0</v>
      </c>
      <c r="M113" s="107">
        <f t="shared" ref="M113:M118" si="30">(D113+F113+H113+J113)</f>
        <v>0</v>
      </c>
      <c r="N113" s="108">
        <f t="shared" ref="N113:N118" si="31">M113+L113</f>
        <v>0</v>
      </c>
      <c r="O113" s="14"/>
      <c r="P113" s="9"/>
    </row>
    <row r="114" spans="1:16" ht="18" thickTop="1" thickBot="1">
      <c r="A114" s="30" t="str">
        <f>O117 &amp;"  " &amp;"I dzień"</f>
        <v>0  I dzień</v>
      </c>
      <c r="B114" s="114">
        <f>szkoły!D28</f>
        <v>0</v>
      </c>
      <c r="C114" s="103"/>
      <c r="D114" s="104">
        <f>IF(C114&gt;="",0,IF(C114&gt;=11.61,0,IF(C114&lt;6.91,(200+(6.91-C114)*100),VLOOKUP(-C114,baza!$E:$F,2,1))))</f>
        <v>0</v>
      </c>
      <c r="E114" s="103"/>
      <c r="F114" s="104">
        <f>IF(E114&lt;18,0,IF(E114&gt;104,(200+(E114-104)*4),VLOOKUP(E114,baza!$C$3:$F$202,4,1)))</f>
        <v>0</v>
      </c>
      <c r="G114" s="105"/>
      <c r="H114" s="104">
        <f>IF(G114&lt;baza!$I$202,0,IF(G114&gt;baza!$I$3,(200+(G114-206)*2),VLOOKUP(G114,baza!$I:$J,2,0)))</f>
        <v>0</v>
      </c>
      <c r="I114" s="105"/>
      <c r="J114" s="104">
        <f>IF(I114&lt;210,0,IF(I114&gt;712,(200+I114-712),VLOOKUP(I114,baza!$B$3:$F$202,5,1)))</f>
        <v>0</v>
      </c>
      <c r="K114" s="106"/>
      <c r="L114" s="104">
        <f>IF(K114="",0,IF(K114&gt;(-1*baza!$D$3),0,IF(K114&lt;232.3,INT(200+(232.3-K114)*3),VLOOKUP(-K114,baza!$D$1:$F$203,3,1))))</f>
        <v>0</v>
      </c>
      <c r="M114" s="107">
        <f t="shared" si="30"/>
        <v>0</v>
      </c>
      <c r="N114" s="108">
        <f t="shared" si="31"/>
        <v>0</v>
      </c>
      <c r="O114" s="14"/>
      <c r="P114" s="9"/>
    </row>
    <row r="115" spans="1:16" ht="18" thickTop="1" thickBot="1">
      <c r="A115" s="30" t="str">
        <f>O118 &amp;"  " &amp;"II dzień"</f>
        <v>0  II dzień</v>
      </c>
      <c r="B115" s="114">
        <f>szkoły!D29</f>
        <v>0</v>
      </c>
      <c r="C115" s="103"/>
      <c r="D115" s="104">
        <f>IF(C115&gt;="",0,IF(C115&gt;=11.61,0,IF(C115&lt;6.91,(200+(6.91-C115)*100),VLOOKUP(-C115,baza!$E:$F,2,1))))</f>
        <v>0</v>
      </c>
      <c r="E115" s="103"/>
      <c r="F115" s="104">
        <f>IF(E115&lt;18,0,IF(E115&gt;104,(200+(E115-104)*4),VLOOKUP(E115,baza!$C$3:$F$202,4,1)))</f>
        <v>0</v>
      </c>
      <c r="G115" s="105"/>
      <c r="H115" s="104">
        <f>IF(G115&lt;baza!$I$202,0,IF(G115&gt;baza!$I$3,(200+(G115-206)*2),VLOOKUP(G115,baza!$I:$J,2,0)))</f>
        <v>0</v>
      </c>
      <c r="I115" s="105"/>
      <c r="J115" s="104">
        <f>IF(I115&lt;210,0,IF(I115&gt;712,(200+I115-712),VLOOKUP(I115,baza!$B$3:$F$202,5,1)))</f>
        <v>0</v>
      </c>
      <c r="K115" s="106"/>
      <c r="L115" s="104">
        <f>IF(K115="",0,IF(K115&gt;(-1*baza!$D$3),0,IF(K115&lt;232.3,INT(200+(232.3-K115)*3),VLOOKUP(-K115,baza!$D$1:$F$203,3,1))))</f>
        <v>0</v>
      </c>
      <c r="M115" s="107">
        <f t="shared" si="30"/>
        <v>0</v>
      </c>
      <c r="N115" s="108">
        <f t="shared" si="31"/>
        <v>0</v>
      </c>
      <c r="O115" s="14"/>
      <c r="P115" s="9"/>
    </row>
    <row r="116" spans="1:16" ht="18" thickTop="1" thickBot="1">
      <c r="A116" s="10"/>
      <c r="B116" s="114">
        <f>szkoły!D30</f>
        <v>0</v>
      </c>
      <c r="C116" s="103"/>
      <c r="D116" s="104">
        <f>IF(C116&gt;="",0,IF(C116&gt;=11.61,0,IF(C116&lt;6.91,(200+(6.91-C116)*100),VLOOKUP(-C116,baza!$E:$F,2,1))))</f>
        <v>0</v>
      </c>
      <c r="E116" s="103"/>
      <c r="F116" s="104">
        <f>IF(E116&lt;18,0,IF(E116&gt;104,(200+(E116-104)*4),VLOOKUP(E116,baza!$C$3:$F$202,4,1)))</f>
        <v>0</v>
      </c>
      <c r="G116" s="105"/>
      <c r="H116" s="104">
        <f>IF(G116&lt;baza!$I$202,0,IF(G116&gt;baza!$I$3,(200+(G116-206)*2),VLOOKUP(G116,baza!$I:$J,2,0)))</f>
        <v>0</v>
      </c>
      <c r="I116" s="105"/>
      <c r="J116" s="104">
        <f>IF(I116&lt;210,0,IF(I116&gt;712,(200+I116-712),VLOOKUP(I116,baza!$B$3:$F$202,5,1)))</f>
        <v>0</v>
      </c>
      <c r="K116" s="106"/>
      <c r="L116" s="104">
        <f>IF(K116="",0,IF(K116&gt;(-1*baza!$D$3),0,IF(K116&lt;232.3,INT(200+(232.3-K116)*3),VLOOKUP(-K116,baza!$D$1:$F$203,3,1))))</f>
        <v>0</v>
      </c>
      <c r="M116" s="107">
        <f t="shared" si="30"/>
        <v>0</v>
      </c>
      <c r="N116" s="108">
        <f t="shared" si="31"/>
        <v>0</v>
      </c>
      <c r="O116" s="14"/>
      <c r="P116" s="9"/>
    </row>
    <row r="117" spans="1:16" ht="18" thickTop="1" thickBot="1">
      <c r="A117" s="10"/>
      <c r="B117" s="114">
        <f>szkoły!D31</f>
        <v>0</v>
      </c>
      <c r="C117" s="103"/>
      <c r="D117" s="104">
        <f>IF(C117&gt;="",0,IF(C117&gt;=11.61,0,IF(C117&lt;6.91,(200+(6.91-C117)*100),VLOOKUP(-C117,baza!$E:$F,2,1))))</f>
        <v>0</v>
      </c>
      <c r="E117" s="103"/>
      <c r="F117" s="104">
        <f>IF(E117&lt;18,0,IF(E117&gt;104,(200+(E117-104)*4),VLOOKUP(E117,baza!$C$3:$F$202,4,1)))</f>
        <v>0</v>
      </c>
      <c r="G117" s="105"/>
      <c r="H117" s="104">
        <f>IF(G117&lt;baza!$I$202,0,IF(G117&gt;baza!$I$3,(200+(G117-206)*2),VLOOKUP(G117,baza!$I:$J,2,0)))</f>
        <v>0</v>
      </c>
      <c r="I117" s="105"/>
      <c r="J117" s="104">
        <f>IF(I117&lt;210,0,IF(I117&gt;712,(200+I117-712),VLOOKUP(I117,baza!$B$3:$F$202,5,1)))</f>
        <v>0</v>
      </c>
      <c r="K117" s="106"/>
      <c r="L117" s="104">
        <f>IF(K117="",0,IF(K117&gt;(-1*baza!$D$3),0,IF(K117&lt;232.3,INT(200+(232.3-K117)*3),VLOOKUP(-K117,baza!$D$1:$F$203,3,1))))</f>
        <v>0</v>
      </c>
      <c r="M117" s="107">
        <f t="shared" si="30"/>
        <v>0</v>
      </c>
      <c r="N117" s="108">
        <f t="shared" si="31"/>
        <v>0</v>
      </c>
      <c r="O117" s="15">
        <f>SUM(M113:M118)</f>
        <v>0</v>
      </c>
      <c r="P117" s="8" t="s">
        <v>9</v>
      </c>
    </row>
    <row r="118" spans="1:16" ht="18" thickTop="1" thickBot="1">
      <c r="A118" s="10"/>
      <c r="B118" s="114">
        <f>szkoły!D32</f>
        <v>0</v>
      </c>
      <c r="C118" s="103"/>
      <c r="D118" s="104">
        <f>IF(C118&gt;="",0,IF(C118&gt;=11.61,0,IF(C118&lt;6.91,(200+(6.91-C118)*100),VLOOKUP(-C118,baza!$E:$F,2,1))))</f>
        <v>0</v>
      </c>
      <c r="E118" s="103"/>
      <c r="F118" s="104">
        <f>IF(E118&lt;18,0,IF(E118&gt;104,(200+(E118-104)*4),VLOOKUP(E118,baza!$C$3:$F$202,4,1)))</f>
        <v>0</v>
      </c>
      <c r="G118" s="105"/>
      <c r="H118" s="104">
        <f>IF(G118&lt;baza!$I$202,0,IF(G118&gt;baza!$I$3,(200+(G118-206)*2),VLOOKUP(G118,baza!$I:$J,2,0)))</f>
        <v>0</v>
      </c>
      <c r="I118" s="105"/>
      <c r="J118" s="104">
        <f>IF(I118&lt;210,0,IF(I118&gt;712,(200+I118-712),VLOOKUP(I118,baza!$B$3:$F$202,5,1)))</f>
        <v>0</v>
      </c>
      <c r="K118" s="106"/>
      <c r="L118" s="104">
        <f>IF(K118="",0,IF(K118&gt;(-1*baza!$D$3),0,IF(K118&lt;232.3,INT(200+(232.3-K118)*3),VLOOKUP(-K118,baza!$D$1:$F$203,3,1))))</f>
        <v>0</v>
      </c>
      <c r="M118" s="107">
        <f t="shared" si="30"/>
        <v>0</v>
      </c>
      <c r="N118" s="108">
        <f t="shared" si="31"/>
        <v>0</v>
      </c>
      <c r="O118" s="15">
        <f>IF(COUNT(N113:N118)&lt;6,SUM(N113:N118),SUM(N113:N118)-MIN(N113:N118))</f>
        <v>0</v>
      </c>
      <c r="P118" s="8" t="s">
        <v>11</v>
      </c>
    </row>
    <row r="119" spans="1:16" ht="16.5" thickTop="1" thickBot="1">
      <c r="A119" s="13">
        <f>szkoły!A34</f>
        <v>0</v>
      </c>
      <c r="B119" s="113" t="s">
        <v>6</v>
      </c>
      <c r="C119" s="25" t="s">
        <v>3</v>
      </c>
      <c r="D119" s="27" t="s">
        <v>7</v>
      </c>
      <c r="E119" s="28" t="s">
        <v>8</v>
      </c>
      <c r="F119" s="27" t="s">
        <v>7</v>
      </c>
      <c r="G119" s="27" t="s">
        <v>5</v>
      </c>
      <c r="H119" s="27" t="s">
        <v>7</v>
      </c>
      <c r="I119" s="27" t="s">
        <v>0</v>
      </c>
      <c r="J119" s="27" t="s">
        <v>7</v>
      </c>
      <c r="K119" s="29" t="s">
        <v>2</v>
      </c>
      <c r="L119" s="27" t="s">
        <v>7</v>
      </c>
      <c r="M119" s="26" t="s">
        <v>9</v>
      </c>
      <c r="N119" s="26" t="s">
        <v>10</v>
      </c>
      <c r="O119" s="14"/>
      <c r="P119" s="9"/>
    </row>
    <row r="120" spans="1:16" ht="18" thickTop="1" thickBot="1">
      <c r="A120" s="7"/>
      <c r="B120" s="114">
        <f>szkoły!A35</f>
        <v>0</v>
      </c>
      <c r="C120" s="103"/>
      <c r="D120" s="104">
        <f>IF(C120&gt;="",0,IF(C120&gt;=11.61,0,IF(C120&lt;6.91,(200+(6.91-C120)*100),VLOOKUP(-C120,baza!$E:$F,2,1))))</f>
        <v>0</v>
      </c>
      <c r="E120" s="103"/>
      <c r="F120" s="104">
        <f>IF(E120&lt;18,0,IF(E120&gt;104,(200+(E120-104)*4),VLOOKUP(E120,baza!$C$3:$F$202,4,1)))</f>
        <v>0</v>
      </c>
      <c r="G120" s="105"/>
      <c r="H120" s="104">
        <f>IF(G120&lt;baza!$I$202,0,IF(G120&gt;baza!$I$3,(200+(G120-206)*2),VLOOKUP(G120,baza!$I:$J,2,0)))</f>
        <v>0</v>
      </c>
      <c r="I120" s="105"/>
      <c r="J120" s="104">
        <f>IF(I120&lt;210,0,IF(I120&gt;712,(200+I120-712),VLOOKUP(I120,baza!$B$3:$F$202,5,1)))</f>
        <v>0</v>
      </c>
      <c r="K120" s="106"/>
      <c r="L120" s="104">
        <f>IF(K120="",0,IF(K120&gt;(-1*baza!$D$3),0,IF(K120&lt;232.3,INT(200+(232.3-K120)*3),VLOOKUP(-K120,baza!$D$1:$F$203,3,1))))</f>
        <v>0</v>
      </c>
      <c r="M120" s="107">
        <f t="shared" ref="M120:M125" si="32">(D120+F120+H120+J120)</f>
        <v>0</v>
      </c>
      <c r="N120" s="108">
        <f t="shared" ref="N120:N125" si="33">M120+L120</f>
        <v>0</v>
      </c>
      <c r="O120" s="14"/>
      <c r="P120" s="9"/>
    </row>
    <row r="121" spans="1:16" ht="18" thickTop="1" thickBot="1">
      <c r="A121" s="30" t="str">
        <f>O124 &amp;"  " &amp;"I dzień"</f>
        <v>0  I dzień</v>
      </c>
      <c r="B121" s="114">
        <f>szkoły!A36</f>
        <v>0</v>
      </c>
      <c r="C121" s="103"/>
      <c r="D121" s="104">
        <f>IF(C121&gt;="",0,IF(C121&gt;=11.61,0,IF(C121&lt;6.91,(200+(6.91-C121)*100),VLOOKUP(-C121,baza!$E:$F,2,1))))</f>
        <v>0</v>
      </c>
      <c r="E121" s="103"/>
      <c r="F121" s="104">
        <f>IF(E121&lt;18,0,IF(E121&gt;104,(200+(E121-104)*4),VLOOKUP(E121,baza!$C$3:$F$202,4,1)))</f>
        <v>0</v>
      </c>
      <c r="G121" s="105"/>
      <c r="H121" s="104">
        <f>IF(G121&lt;baza!$I$202,0,IF(G121&gt;baza!$I$3,(200+(G121-206)*2),VLOOKUP(G121,baza!$I:$J,2,0)))</f>
        <v>0</v>
      </c>
      <c r="I121" s="105"/>
      <c r="J121" s="104">
        <f>IF(I121&lt;210,0,IF(I121&gt;712,(200+I121-712),VLOOKUP(I121,baza!$B$3:$F$202,5,1)))</f>
        <v>0</v>
      </c>
      <c r="K121" s="106"/>
      <c r="L121" s="104">
        <f>IF(K121="",0,IF(K121&gt;(-1*baza!$D$3),0,IF(K121&lt;232.3,INT(200+(232.3-K121)*3),VLOOKUP(-K121,baza!$D$1:$F$203,3,1))))</f>
        <v>0</v>
      </c>
      <c r="M121" s="107">
        <f t="shared" si="32"/>
        <v>0</v>
      </c>
      <c r="N121" s="108">
        <f t="shared" si="33"/>
        <v>0</v>
      </c>
      <c r="O121" s="14"/>
      <c r="P121" s="9"/>
    </row>
    <row r="122" spans="1:16" ht="18" thickTop="1" thickBot="1">
      <c r="A122" s="30" t="str">
        <f>O125 &amp;"  " &amp;"II dzień"</f>
        <v>0  II dzień</v>
      </c>
      <c r="B122" s="114">
        <f>szkoły!A37</f>
        <v>0</v>
      </c>
      <c r="C122" s="103"/>
      <c r="D122" s="104">
        <f>IF(C122&gt;="",0,IF(C122&gt;=11.61,0,IF(C122&lt;6.91,(200+(6.91-C122)*100),VLOOKUP(-C122,baza!$E:$F,2,1))))</f>
        <v>0</v>
      </c>
      <c r="E122" s="103"/>
      <c r="F122" s="104">
        <f>IF(E122&lt;18,0,IF(E122&gt;104,(200+(E122-104)*4),VLOOKUP(E122,baza!$C$3:$F$202,4,1)))</f>
        <v>0</v>
      </c>
      <c r="G122" s="105"/>
      <c r="H122" s="104">
        <f>IF(G122&lt;baza!$I$202,0,IF(G122&gt;baza!$I$3,(200+(G122-206)*2),VLOOKUP(G122,baza!$I:$J,2,0)))</f>
        <v>0</v>
      </c>
      <c r="I122" s="105"/>
      <c r="J122" s="104">
        <f>IF(I122&lt;210,0,IF(I122&gt;712,(200+I122-712),VLOOKUP(I122,baza!$B$3:$F$202,5,1)))</f>
        <v>0</v>
      </c>
      <c r="K122" s="106"/>
      <c r="L122" s="104">
        <f>IF(K122="",0,IF(K122&gt;(-1*baza!$D$3),0,IF(K122&lt;232.3,INT(200+(232.3-K122)*3),VLOOKUP(-K122,baza!$D$1:$F$203,3,1))))</f>
        <v>0</v>
      </c>
      <c r="M122" s="107">
        <f t="shared" si="32"/>
        <v>0</v>
      </c>
      <c r="N122" s="108">
        <f t="shared" si="33"/>
        <v>0</v>
      </c>
      <c r="O122" s="14"/>
      <c r="P122" s="9"/>
    </row>
    <row r="123" spans="1:16" ht="18" thickTop="1" thickBot="1">
      <c r="A123" s="7"/>
      <c r="B123" s="114">
        <f>szkoły!A38</f>
        <v>0</v>
      </c>
      <c r="C123" s="103"/>
      <c r="D123" s="104">
        <f>IF(C123&gt;="",0,IF(C123&gt;=11.61,0,IF(C123&lt;6.91,(200+(6.91-C123)*100),VLOOKUP(-C123,baza!$E:$F,2,1))))</f>
        <v>0</v>
      </c>
      <c r="E123" s="103"/>
      <c r="F123" s="104">
        <f>IF(E123&lt;18,0,IF(E123&gt;104,(200+(E123-104)*4),VLOOKUP(E123,baza!$C$3:$F$202,4,1)))</f>
        <v>0</v>
      </c>
      <c r="G123" s="105"/>
      <c r="H123" s="104">
        <f>IF(G123&lt;baza!$I$202,0,IF(G123&gt;baza!$I$3,(200+(G123-206)*2),VLOOKUP(G123,baza!$I:$J,2,0)))</f>
        <v>0</v>
      </c>
      <c r="I123" s="105"/>
      <c r="J123" s="104">
        <f>IF(I123&lt;210,0,IF(I123&gt;712,(200+I123-712),VLOOKUP(I123,baza!$B$3:$F$202,5,1)))</f>
        <v>0</v>
      </c>
      <c r="K123" s="106"/>
      <c r="L123" s="104">
        <f>IF(K123="",0,IF(K123&gt;(-1*baza!$D$3),0,IF(K123&lt;232.3,INT(200+(232.3-K123)*3),VLOOKUP(-K123,baza!$D$1:$F$203,3,1))))</f>
        <v>0</v>
      </c>
      <c r="M123" s="107">
        <f t="shared" si="32"/>
        <v>0</v>
      </c>
      <c r="N123" s="108">
        <f t="shared" si="33"/>
        <v>0</v>
      </c>
      <c r="O123" s="14"/>
      <c r="P123" s="9"/>
    </row>
    <row r="124" spans="1:16" ht="18" thickTop="1" thickBot="1">
      <c r="A124" s="7"/>
      <c r="B124" s="114">
        <f>szkoły!A39</f>
        <v>0</v>
      </c>
      <c r="C124" s="103"/>
      <c r="D124" s="104">
        <f>IF(C124&gt;="",0,IF(C124&gt;=11.61,0,IF(C124&lt;6.91,(200+(6.91-C124)*100),VLOOKUP(-C124,baza!$E:$F,2,1))))</f>
        <v>0</v>
      </c>
      <c r="E124" s="103"/>
      <c r="F124" s="104">
        <f>IF(E124&lt;18,0,IF(E124&gt;104,(200+(E124-104)*4),VLOOKUP(E124,baza!$C$3:$F$202,4,1)))</f>
        <v>0</v>
      </c>
      <c r="G124" s="105"/>
      <c r="H124" s="104">
        <f>IF(G124&lt;baza!$I$202,0,IF(G124&gt;baza!$I$3,(200+(G124-206)*2),VLOOKUP(G124,baza!$I:$J,2,0)))</f>
        <v>0</v>
      </c>
      <c r="I124" s="105"/>
      <c r="J124" s="104">
        <f>IF(I124&lt;210,0,IF(I124&gt;712,(200+I124-712),VLOOKUP(I124,baza!$B$3:$F$202,5,1)))</f>
        <v>0</v>
      </c>
      <c r="K124" s="106"/>
      <c r="L124" s="104">
        <f>IF(K124="",0,IF(K124&gt;(-1*baza!$D$3),0,IF(K124&lt;232.3,INT(200+(232.3-K124)*3),VLOOKUP(-K124,baza!$D$1:$F$203,3,1))))</f>
        <v>0</v>
      </c>
      <c r="M124" s="107">
        <f t="shared" si="32"/>
        <v>0</v>
      </c>
      <c r="N124" s="108">
        <f t="shared" si="33"/>
        <v>0</v>
      </c>
      <c r="O124" s="15">
        <f>SUM(M120:M125)</f>
        <v>0</v>
      </c>
      <c r="P124" s="8" t="s">
        <v>9</v>
      </c>
    </row>
    <row r="125" spans="1:16" ht="18" thickTop="1" thickBot="1">
      <c r="A125" s="7"/>
      <c r="B125" s="114">
        <f>szkoły!A40</f>
        <v>0</v>
      </c>
      <c r="C125" s="103"/>
      <c r="D125" s="104">
        <f>IF(C125&gt;="",0,IF(C125&gt;=11.61,0,IF(C125&lt;6.91,(200+(6.91-C125)*100),VLOOKUP(-C125,baza!$E:$F,2,1))))</f>
        <v>0</v>
      </c>
      <c r="E125" s="103"/>
      <c r="F125" s="104">
        <f>IF(E125&lt;18,0,IF(E125&gt;104,(200+(E125-104)*4),VLOOKUP(E125,baza!$C$3:$F$202,4,1)))</f>
        <v>0</v>
      </c>
      <c r="G125" s="105"/>
      <c r="H125" s="104">
        <f>IF(G125&lt;baza!$I$202,0,IF(G125&gt;baza!$I$3,(200+(G125-206)*2),VLOOKUP(G125,baza!$I:$J,2,0)))</f>
        <v>0</v>
      </c>
      <c r="I125" s="105"/>
      <c r="J125" s="104">
        <f>IF(I125&lt;210,0,IF(I125&gt;712,(200+I125-712),VLOOKUP(I125,baza!$B$3:$F$202,5,1)))</f>
        <v>0</v>
      </c>
      <c r="K125" s="106"/>
      <c r="L125" s="104">
        <f>IF(K125="",0,IF(K125&gt;(-1*baza!$D$3),0,IF(K125&lt;232.3,INT(200+(232.3-K125)*3),VLOOKUP(-K125,baza!$D$1:$F$203,3,1))))</f>
        <v>0</v>
      </c>
      <c r="M125" s="107">
        <f t="shared" si="32"/>
        <v>0</v>
      </c>
      <c r="N125" s="108">
        <f t="shared" si="33"/>
        <v>0</v>
      </c>
      <c r="O125" s="15">
        <f>IF(COUNT(N120:N125)&lt;6,SUM(N120:N125),SUM(N120:N125)-MIN(N120:N125))</f>
        <v>0</v>
      </c>
      <c r="P125" s="8" t="s">
        <v>11</v>
      </c>
    </row>
    <row r="126" spans="1:16" ht="16.5" thickTop="1" thickBot="1">
      <c r="A126" s="13">
        <f>szkoły!B34</f>
        <v>0</v>
      </c>
      <c r="B126" s="113" t="s">
        <v>6</v>
      </c>
      <c r="C126" s="25" t="s">
        <v>3</v>
      </c>
      <c r="D126" s="27" t="s">
        <v>7</v>
      </c>
      <c r="E126" s="28" t="s">
        <v>8</v>
      </c>
      <c r="F126" s="27" t="s">
        <v>7</v>
      </c>
      <c r="G126" s="27" t="s">
        <v>5</v>
      </c>
      <c r="H126" s="27" t="s">
        <v>7</v>
      </c>
      <c r="I126" s="27" t="s">
        <v>0</v>
      </c>
      <c r="J126" s="27" t="s">
        <v>7</v>
      </c>
      <c r="K126" s="29" t="s">
        <v>2</v>
      </c>
      <c r="L126" s="27" t="s">
        <v>7</v>
      </c>
      <c r="M126" s="26" t="s">
        <v>9</v>
      </c>
      <c r="N126" s="26" t="s">
        <v>10</v>
      </c>
      <c r="O126" s="14"/>
      <c r="P126" s="9"/>
    </row>
    <row r="127" spans="1:16" ht="18" thickTop="1" thickBot="1">
      <c r="A127" s="10"/>
      <c r="B127" s="114">
        <f>szkoły!B35</f>
        <v>0</v>
      </c>
      <c r="C127" s="103"/>
      <c r="D127" s="104">
        <f>IF(C127&gt;="",0,IF(C127&gt;=11.61,0,IF(C127&lt;6.91,(200+(6.91-C127)*100),VLOOKUP(-C127,baza!$E:$F,2,1))))</f>
        <v>0</v>
      </c>
      <c r="E127" s="103"/>
      <c r="F127" s="104">
        <f>IF(E127&lt;18,0,IF(E127&gt;104,(200+(E127-104)*4),VLOOKUP(E127,baza!$C$3:$F$202,4,1)))</f>
        <v>0</v>
      </c>
      <c r="G127" s="105"/>
      <c r="H127" s="104">
        <f>IF(G127&lt;baza!$I$202,0,IF(G127&gt;baza!$I$3,(200+(G127-206)*2),VLOOKUP(G127,baza!$I:$J,2,0)))</f>
        <v>0</v>
      </c>
      <c r="I127" s="105"/>
      <c r="J127" s="104">
        <f>IF(I127&lt;210,0,IF(I127&gt;712,(200+I127-712),VLOOKUP(I127,baza!$B$3:$F$202,5,1)))</f>
        <v>0</v>
      </c>
      <c r="K127" s="106"/>
      <c r="L127" s="104">
        <f>IF(K127="",0,IF(K127&gt;(-1*baza!$D$3),0,IF(K127&lt;232.3,INT(200+(232.3-K127)*3),VLOOKUP(-K127,baza!$D$1:$F$203,3,1))))</f>
        <v>0</v>
      </c>
      <c r="M127" s="107">
        <f t="shared" ref="M127:M132" si="34">(D127+F127+H127+J127)</f>
        <v>0</v>
      </c>
      <c r="N127" s="108">
        <f t="shared" ref="N127:N132" si="35">M127+L127</f>
        <v>0</v>
      </c>
      <c r="O127" s="14"/>
      <c r="P127" s="9"/>
    </row>
    <row r="128" spans="1:16" ht="18" thickTop="1" thickBot="1">
      <c r="A128" s="30" t="str">
        <f>O131 &amp;"  " &amp;"I dzień"</f>
        <v>0  I dzień</v>
      </c>
      <c r="B128" s="114">
        <f>szkoły!B36</f>
        <v>0</v>
      </c>
      <c r="C128" s="103"/>
      <c r="D128" s="104">
        <f>IF(C128&gt;="",0,IF(C128&gt;=11.61,0,IF(C128&lt;6.91,(200+(6.91-C128)*100),VLOOKUP(-C128,baza!$E:$F,2,1))))</f>
        <v>0</v>
      </c>
      <c r="E128" s="103"/>
      <c r="F128" s="104">
        <f>IF(E128&lt;18,0,IF(E128&gt;104,(200+(E128-104)*4),VLOOKUP(E128,baza!$C$3:$F$202,4,1)))</f>
        <v>0</v>
      </c>
      <c r="G128" s="105"/>
      <c r="H128" s="104">
        <f>IF(G128&lt;baza!$I$202,0,IF(G128&gt;baza!$I$3,(200+(G128-206)*2),VLOOKUP(G128,baza!$I:$J,2,0)))</f>
        <v>0</v>
      </c>
      <c r="I128" s="105"/>
      <c r="J128" s="104">
        <f>IF(I128&lt;210,0,IF(I128&gt;712,(200+I128-712),VLOOKUP(I128,baza!$B$3:$F$202,5,1)))</f>
        <v>0</v>
      </c>
      <c r="K128" s="106"/>
      <c r="L128" s="104">
        <f>IF(K128="",0,IF(K128&gt;(-1*baza!$D$3),0,IF(K128&lt;232.3,INT(200+(232.3-K128)*3),VLOOKUP(-K128,baza!$D$1:$F$203,3,1))))</f>
        <v>0</v>
      </c>
      <c r="M128" s="107">
        <f t="shared" si="34"/>
        <v>0</v>
      </c>
      <c r="N128" s="108">
        <f t="shared" si="35"/>
        <v>0</v>
      </c>
      <c r="O128" s="14"/>
      <c r="P128" s="9"/>
    </row>
    <row r="129" spans="1:16" ht="18" thickTop="1" thickBot="1">
      <c r="A129" s="30" t="str">
        <f>O132 &amp;"  " &amp;"II dzień"</f>
        <v>0  II dzień</v>
      </c>
      <c r="B129" s="114">
        <f>szkoły!B37</f>
        <v>0</v>
      </c>
      <c r="C129" s="103"/>
      <c r="D129" s="104">
        <f>IF(C129&gt;="",0,IF(C129&gt;=11.61,0,IF(C129&lt;6.91,(200+(6.91-C129)*100),VLOOKUP(-C129,baza!$E:$F,2,1))))</f>
        <v>0</v>
      </c>
      <c r="E129" s="103"/>
      <c r="F129" s="104">
        <f>IF(E129&lt;18,0,IF(E129&gt;104,(200+(E129-104)*4),VLOOKUP(E129,baza!$C$3:$F$202,4,1)))</f>
        <v>0</v>
      </c>
      <c r="G129" s="105"/>
      <c r="H129" s="104">
        <f>IF(G129&lt;baza!$I$202,0,IF(G129&gt;baza!$I$3,(200+(G129-206)*2),VLOOKUP(G129,baza!$I:$J,2,0)))</f>
        <v>0</v>
      </c>
      <c r="I129" s="105"/>
      <c r="J129" s="104">
        <f>IF(I129&lt;210,0,IF(I129&gt;712,(200+I129-712),VLOOKUP(I129,baza!$B$3:$F$202,5,1)))</f>
        <v>0</v>
      </c>
      <c r="K129" s="106"/>
      <c r="L129" s="104">
        <f>IF(K129="",0,IF(K129&gt;(-1*baza!$D$3),0,IF(K129&lt;232.3,INT(200+(232.3-K129)*3),VLOOKUP(-K129,baza!$D$1:$F$203,3,1))))</f>
        <v>0</v>
      </c>
      <c r="M129" s="107">
        <f t="shared" si="34"/>
        <v>0</v>
      </c>
      <c r="N129" s="108">
        <f t="shared" si="35"/>
        <v>0</v>
      </c>
      <c r="O129" s="14"/>
      <c r="P129" s="9"/>
    </row>
    <row r="130" spans="1:16" ht="18" thickTop="1" thickBot="1">
      <c r="A130" s="10"/>
      <c r="B130" s="114">
        <f>szkoły!B38</f>
        <v>0</v>
      </c>
      <c r="C130" s="103"/>
      <c r="D130" s="104">
        <f>IF(C130&gt;="",0,IF(C130&gt;=11.61,0,IF(C130&lt;6.91,(200+(6.91-C130)*100),VLOOKUP(-C130,baza!$E:$F,2,1))))</f>
        <v>0</v>
      </c>
      <c r="E130" s="103"/>
      <c r="F130" s="104">
        <f>IF(E130&lt;18,0,IF(E130&gt;104,(200+(E130-104)*4),VLOOKUP(E130,baza!$C$3:$F$202,4,1)))</f>
        <v>0</v>
      </c>
      <c r="G130" s="105"/>
      <c r="H130" s="104">
        <f>IF(G130&lt;baza!$I$202,0,IF(G130&gt;baza!$I$3,(200+(G130-206)*2),VLOOKUP(G130,baza!$I:$J,2,0)))</f>
        <v>0</v>
      </c>
      <c r="I130" s="105"/>
      <c r="J130" s="104">
        <f>IF(I130&lt;210,0,IF(I130&gt;712,(200+I130-712),VLOOKUP(I130,baza!$B$3:$F$202,5,1)))</f>
        <v>0</v>
      </c>
      <c r="K130" s="106"/>
      <c r="L130" s="104">
        <f>IF(K130="",0,IF(K130&gt;(-1*baza!$D$3),0,IF(K130&lt;232.3,INT(200+(232.3-K130)*3),VLOOKUP(-K130,baza!$D$1:$F$203,3,1))))</f>
        <v>0</v>
      </c>
      <c r="M130" s="107">
        <f t="shared" si="34"/>
        <v>0</v>
      </c>
      <c r="N130" s="108">
        <f t="shared" si="35"/>
        <v>0</v>
      </c>
      <c r="O130" s="14"/>
      <c r="P130" s="9"/>
    </row>
    <row r="131" spans="1:16" ht="18" thickTop="1" thickBot="1">
      <c r="A131" s="10"/>
      <c r="B131" s="114">
        <f>szkoły!B39</f>
        <v>0</v>
      </c>
      <c r="C131" s="103"/>
      <c r="D131" s="104">
        <f>IF(C131&gt;="",0,IF(C131&gt;=11.61,0,IF(C131&lt;6.91,(200+(6.91-C131)*100),VLOOKUP(-C131,baza!$E:$F,2,1))))</f>
        <v>0</v>
      </c>
      <c r="E131" s="103"/>
      <c r="F131" s="104">
        <f>IF(E131&lt;18,0,IF(E131&gt;104,(200+(E131-104)*4),VLOOKUP(E131,baza!$C$3:$F$202,4,1)))</f>
        <v>0</v>
      </c>
      <c r="G131" s="105"/>
      <c r="H131" s="104">
        <f>IF(G131&lt;baza!$I$202,0,IF(G131&gt;baza!$I$3,(200+(G131-206)*2),VLOOKUP(G131,baza!$I:$J,2,0)))</f>
        <v>0</v>
      </c>
      <c r="I131" s="105"/>
      <c r="J131" s="104">
        <f>IF(I131&lt;210,0,IF(I131&gt;712,(200+I131-712),VLOOKUP(I131,baza!$B$3:$F$202,5,1)))</f>
        <v>0</v>
      </c>
      <c r="K131" s="106"/>
      <c r="L131" s="104">
        <f>IF(K131="",0,IF(K131&gt;(-1*baza!$D$3),0,IF(K131&lt;232.3,INT(200+(232.3-K131)*3),VLOOKUP(-K131,baza!$D$1:$F$203,3,1))))</f>
        <v>0</v>
      </c>
      <c r="M131" s="107">
        <f t="shared" si="34"/>
        <v>0</v>
      </c>
      <c r="N131" s="108">
        <f t="shared" si="35"/>
        <v>0</v>
      </c>
      <c r="O131" s="15">
        <f>SUM(M127:M132)</f>
        <v>0</v>
      </c>
      <c r="P131" s="8" t="s">
        <v>9</v>
      </c>
    </row>
    <row r="132" spans="1:16" ht="18" thickTop="1" thickBot="1">
      <c r="A132" s="10"/>
      <c r="B132" s="114">
        <f>szkoły!B40</f>
        <v>0</v>
      </c>
      <c r="C132" s="103"/>
      <c r="D132" s="104">
        <f>IF(C132&gt;="",0,IF(C132&gt;=11.61,0,IF(C132&lt;6.91,(200+(6.91-C132)*100),VLOOKUP(-C132,baza!$E:$F,2,1))))</f>
        <v>0</v>
      </c>
      <c r="E132" s="103"/>
      <c r="F132" s="104">
        <f>IF(E132&lt;18,0,IF(E132&gt;104,(200+(E132-104)*4),VLOOKUP(E132,baza!$C$3:$F$202,4,1)))</f>
        <v>0</v>
      </c>
      <c r="G132" s="105"/>
      <c r="H132" s="104">
        <f>IF(G132&lt;baza!$I$202,0,IF(G132&gt;baza!$I$3,(200+(G132-206)*2),VLOOKUP(G132,baza!$I:$J,2,0)))</f>
        <v>0</v>
      </c>
      <c r="I132" s="105"/>
      <c r="J132" s="104">
        <f>IF(I132&lt;210,0,IF(I132&gt;712,(200+I132-712),VLOOKUP(I132,baza!$B$3:$F$202,5,1)))</f>
        <v>0</v>
      </c>
      <c r="K132" s="106"/>
      <c r="L132" s="104">
        <f>IF(K132="",0,IF(K132&gt;(-1*baza!$D$3),0,IF(K132&lt;232.3,INT(200+(232.3-K132)*3),VLOOKUP(-K132,baza!$D$1:$F$203,3,1))))</f>
        <v>0</v>
      </c>
      <c r="M132" s="107">
        <f t="shared" si="34"/>
        <v>0</v>
      </c>
      <c r="N132" s="108">
        <f t="shared" si="35"/>
        <v>0</v>
      </c>
      <c r="O132" s="15">
        <f>IF(COUNT(N127:N132)&lt;6,SUM(N127:N132),SUM(N127:N132)-MIN(N127:N132))</f>
        <v>0</v>
      </c>
      <c r="P132" s="8" t="s">
        <v>11</v>
      </c>
    </row>
    <row r="133" spans="1:16" ht="16.5" thickTop="1" thickBot="1">
      <c r="A133" s="13">
        <f>szkoły!C34</f>
        <v>0</v>
      </c>
      <c r="B133" s="113" t="s">
        <v>6</v>
      </c>
      <c r="C133" s="25" t="s">
        <v>3</v>
      </c>
      <c r="D133" s="27" t="s">
        <v>7</v>
      </c>
      <c r="E133" s="28" t="s">
        <v>8</v>
      </c>
      <c r="F133" s="27" t="s">
        <v>7</v>
      </c>
      <c r="G133" s="27" t="s">
        <v>5</v>
      </c>
      <c r="H133" s="27" t="s">
        <v>7</v>
      </c>
      <c r="I133" s="27" t="s">
        <v>0</v>
      </c>
      <c r="J133" s="27" t="s">
        <v>7</v>
      </c>
      <c r="K133" s="29" t="s">
        <v>2</v>
      </c>
      <c r="L133" s="27" t="s">
        <v>7</v>
      </c>
      <c r="M133" s="26" t="s">
        <v>9</v>
      </c>
      <c r="N133" s="26" t="s">
        <v>10</v>
      </c>
      <c r="O133" s="14"/>
      <c r="P133" s="9"/>
    </row>
    <row r="134" spans="1:16" ht="18" thickTop="1" thickBot="1">
      <c r="A134" s="7"/>
      <c r="B134" s="114">
        <f>szkoły!C35</f>
        <v>0</v>
      </c>
      <c r="C134" s="103"/>
      <c r="D134" s="104">
        <f>IF(C134&gt;="",0,IF(C134&gt;=11.61,0,IF(C134&lt;6.91,(200+(6.91-C134)*100),VLOOKUP(-C134,baza!$E:$F,2,1))))</f>
        <v>0</v>
      </c>
      <c r="E134" s="103"/>
      <c r="F134" s="104">
        <f>IF(E134&lt;18,0,IF(E134&gt;104,(200+(E134-104)*4),VLOOKUP(E134,baza!$C$3:$F$202,4,1)))</f>
        <v>0</v>
      </c>
      <c r="G134" s="105"/>
      <c r="H134" s="104">
        <f>IF(G134&lt;baza!$I$202,0,IF(G134&gt;baza!$I$3,(200+(G134-206)*2),VLOOKUP(G134,baza!$I:$J,2,0)))</f>
        <v>0</v>
      </c>
      <c r="I134" s="105"/>
      <c r="J134" s="104">
        <f>IF(I134&lt;210,0,IF(I134&gt;712,(200+I134-712),VLOOKUP(I134,baza!$B$3:$F$202,5,1)))</f>
        <v>0</v>
      </c>
      <c r="K134" s="106"/>
      <c r="L134" s="104">
        <f>IF(K134="",0,IF(K134&gt;(-1*baza!$D$3),0,IF(K134&lt;232.3,INT(200+(232.3-K134)*3),VLOOKUP(-K134,baza!$D$1:$F$203,3,1))))</f>
        <v>0</v>
      </c>
      <c r="M134" s="107">
        <f t="shared" ref="M134:M139" si="36">(D134+F134+H134+J134)</f>
        <v>0</v>
      </c>
      <c r="N134" s="108">
        <f t="shared" ref="N134:N139" si="37">M134+L134</f>
        <v>0</v>
      </c>
      <c r="O134" s="14"/>
      <c r="P134" s="9"/>
    </row>
    <row r="135" spans="1:16" ht="18" thickTop="1" thickBot="1">
      <c r="A135" s="30" t="str">
        <f>O138 &amp;"  " &amp;"I dzień"</f>
        <v>0  I dzień</v>
      </c>
      <c r="B135" s="114">
        <f>szkoły!C36</f>
        <v>0</v>
      </c>
      <c r="C135" s="103"/>
      <c r="D135" s="104">
        <f>IF(C135&gt;="",0,IF(C135&gt;=11.61,0,IF(C135&lt;6.91,(200+(6.91-C135)*100),VLOOKUP(-C135,baza!$E:$F,2,1))))</f>
        <v>0</v>
      </c>
      <c r="E135" s="103"/>
      <c r="F135" s="104">
        <f>IF(E135&lt;18,0,IF(E135&gt;104,(200+(E135-104)*4),VLOOKUP(E135,baza!$C$3:$F$202,4,1)))</f>
        <v>0</v>
      </c>
      <c r="G135" s="105"/>
      <c r="H135" s="104">
        <f>IF(G135&lt;baza!$I$202,0,IF(G135&gt;baza!$I$3,(200+(G135-206)*2),VLOOKUP(G135,baza!$I:$J,2,0)))</f>
        <v>0</v>
      </c>
      <c r="I135" s="105"/>
      <c r="J135" s="104">
        <f>IF(I135&lt;210,0,IF(I135&gt;712,(200+I135-712),VLOOKUP(I135,baza!$B$3:$F$202,5,1)))</f>
        <v>0</v>
      </c>
      <c r="K135" s="106"/>
      <c r="L135" s="104">
        <f>IF(K135="",0,IF(K135&gt;(-1*baza!$D$3),0,IF(K135&lt;232.3,INT(200+(232.3-K135)*3),VLOOKUP(-K135,baza!$D$1:$F$203,3,1))))</f>
        <v>0</v>
      </c>
      <c r="M135" s="107">
        <f t="shared" si="36"/>
        <v>0</v>
      </c>
      <c r="N135" s="108">
        <f t="shared" si="37"/>
        <v>0</v>
      </c>
      <c r="O135" s="14"/>
      <c r="P135" s="9"/>
    </row>
    <row r="136" spans="1:16" ht="18" thickTop="1" thickBot="1">
      <c r="A136" s="30" t="str">
        <f>O139 &amp;"  " &amp;"II dzień"</f>
        <v>0  II dzień</v>
      </c>
      <c r="B136" s="114">
        <f>szkoły!C37</f>
        <v>0</v>
      </c>
      <c r="C136" s="103"/>
      <c r="D136" s="104">
        <f>IF(C136&gt;="",0,IF(C136&gt;=11.61,0,IF(C136&lt;6.91,(200+(6.91-C136)*100),VLOOKUP(-C136,baza!$E:$F,2,1))))</f>
        <v>0</v>
      </c>
      <c r="E136" s="103"/>
      <c r="F136" s="104">
        <f>IF(E136&lt;18,0,IF(E136&gt;104,(200+(E136-104)*4),VLOOKUP(E136,baza!$C$3:$F$202,4,1)))</f>
        <v>0</v>
      </c>
      <c r="G136" s="105"/>
      <c r="H136" s="104">
        <f>IF(G136&lt;baza!$I$202,0,IF(G136&gt;baza!$I$3,(200+(G136-206)*2),VLOOKUP(G136,baza!$I:$J,2,0)))</f>
        <v>0</v>
      </c>
      <c r="I136" s="105"/>
      <c r="J136" s="104">
        <f>IF(I136&lt;210,0,IF(I136&gt;712,(200+I136-712),VLOOKUP(I136,baza!$B$3:$F$202,5,1)))</f>
        <v>0</v>
      </c>
      <c r="K136" s="106"/>
      <c r="L136" s="104">
        <f>IF(K136="",0,IF(K136&gt;(-1*baza!$D$3),0,IF(K136&lt;232.3,INT(200+(232.3-K136)*3),VLOOKUP(-K136,baza!$D$1:$F$203,3,1))))</f>
        <v>0</v>
      </c>
      <c r="M136" s="107">
        <f t="shared" si="36"/>
        <v>0</v>
      </c>
      <c r="N136" s="108">
        <f t="shared" si="37"/>
        <v>0</v>
      </c>
      <c r="O136" s="14"/>
      <c r="P136" s="9"/>
    </row>
    <row r="137" spans="1:16" ht="18" thickTop="1" thickBot="1">
      <c r="A137" s="7"/>
      <c r="B137" s="114">
        <f>szkoły!C38</f>
        <v>0</v>
      </c>
      <c r="C137" s="103"/>
      <c r="D137" s="104">
        <f>IF(C137&gt;="",0,IF(C137&gt;=11.61,0,IF(C137&lt;6.91,(200+(6.91-C137)*100),VLOOKUP(-C137,baza!$E:$F,2,1))))</f>
        <v>0</v>
      </c>
      <c r="E137" s="103"/>
      <c r="F137" s="104">
        <f>IF(E137&lt;18,0,IF(E137&gt;104,(200+(E137-104)*4),VLOOKUP(E137,baza!$C$3:$F$202,4,1)))</f>
        <v>0</v>
      </c>
      <c r="G137" s="105"/>
      <c r="H137" s="104">
        <f>IF(G137&lt;baza!$I$202,0,IF(G137&gt;baza!$I$3,(200+(G137-206)*2),VLOOKUP(G137,baza!$I:$J,2,0)))</f>
        <v>0</v>
      </c>
      <c r="I137" s="105"/>
      <c r="J137" s="104">
        <f>IF(I137&lt;210,0,IF(I137&gt;712,(200+I137-712),VLOOKUP(I137,baza!$B$3:$F$202,5,1)))</f>
        <v>0</v>
      </c>
      <c r="K137" s="106"/>
      <c r="L137" s="104">
        <f>IF(K137="",0,IF(K137&gt;(-1*baza!$D$3),0,IF(K137&lt;232.3,INT(200+(232.3-K137)*3),VLOOKUP(-K137,baza!$D$1:$F$203,3,1))))</f>
        <v>0</v>
      </c>
      <c r="M137" s="107">
        <f t="shared" si="36"/>
        <v>0</v>
      </c>
      <c r="N137" s="108">
        <f t="shared" si="37"/>
        <v>0</v>
      </c>
      <c r="O137" s="14"/>
      <c r="P137" s="9"/>
    </row>
    <row r="138" spans="1:16" ht="18" thickTop="1" thickBot="1">
      <c r="A138" s="7"/>
      <c r="B138" s="114">
        <f>szkoły!C39</f>
        <v>0</v>
      </c>
      <c r="C138" s="103"/>
      <c r="D138" s="104">
        <f>IF(C138&gt;="",0,IF(C138&gt;=11.61,0,IF(C138&lt;6.91,(200+(6.91-C138)*100),VLOOKUP(-C138,baza!$E:$F,2,1))))</f>
        <v>0</v>
      </c>
      <c r="E138" s="103"/>
      <c r="F138" s="104">
        <f>IF(E138&lt;18,0,IF(E138&gt;104,(200+(E138-104)*4),VLOOKUP(E138,baza!$C$3:$F$202,4,1)))</f>
        <v>0</v>
      </c>
      <c r="G138" s="105"/>
      <c r="H138" s="104">
        <f>IF(G138&lt;baza!$I$202,0,IF(G138&gt;baza!$I$3,(200+(G138-206)*2),VLOOKUP(G138,baza!$I:$J,2,0)))</f>
        <v>0</v>
      </c>
      <c r="I138" s="105"/>
      <c r="J138" s="104">
        <f>IF(I138&lt;210,0,IF(I138&gt;712,(200+I138-712),VLOOKUP(I138,baza!$B$3:$F$202,5,1)))</f>
        <v>0</v>
      </c>
      <c r="K138" s="106"/>
      <c r="L138" s="104">
        <f>IF(K138="",0,IF(K138&gt;(-1*baza!$D$3),0,IF(K138&lt;232.3,INT(200+(232.3-K138)*3),VLOOKUP(-K138,baza!$D$1:$F$203,3,1))))</f>
        <v>0</v>
      </c>
      <c r="M138" s="107">
        <f t="shared" si="36"/>
        <v>0</v>
      </c>
      <c r="N138" s="108">
        <f t="shared" si="37"/>
        <v>0</v>
      </c>
      <c r="O138" s="15">
        <f>SUM(M134:M139)</f>
        <v>0</v>
      </c>
      <c r="P138" s="8" t="s">
        <v>9</v>
      </c>
    </row>
    <row r="139" spans="1:16" ht="18" thickTop="1" thickBot="1">
      <c r="A139" s="7"/>
      <c r="B139" s="114">
        <f>szkoły!C40</f>
        <v>0</v>
      </c>
      <c r="C139" s="103"/>
      <c r="D139" s="104">
        <f>IF(C139&gt;="",0,IF(C139&gt;=11.61,0,IF(C139&lt;6.91,(200+(6.91-C139)*100),VLOOKUP(-C139,baza!$E:$F,2,1))))</f>
        <v>0</v>
      </c>
      <c r="E139" s="103"/>
      <c r="F139" s="104">
        <f>IF(E139&lt;18,0,IF(E139&gt;104,(200+(E139-104)*4),VLOOKUP(E139,baza!$C$3:$F$202,4,1)))</f>
        <v>0</v>
      </c>
      <c r="G139" s="105"/>
      <c r="H139" s="104">
        <f>IF(G139&lt;baza!$I$202,0,IF(G139&gt;baza!$I$3,(200+(G139-206)*2),VLOOKUP(G139,baza!$I:$J,2,0)))</f>
        <v>0</v>
      </c>
      <c r="I139" s="105"/>
      <c r="J139" s="104">
        <f>IF(I139&lt;210,0,IF(I139&gt;712,(200+I139-712),VLOOKUP(I139,baza!$B$3:$F$202,5,1)))</f>
        <v>0</v>
      </c>
      <c r="K139" s="106"/>
      <c r="L139" s="104">
        <f>IF(K139="",0,IF(K139&gt;(-1*baza!$D$3),0,IF(K139&lt;232.3,INT(200+(232.3-K139)*3),VLOOKUP(-K139,baza!$D$1:$F$203,3,1))))</f>
        <v>0</v>
      </c>
      <c r="M139" s="107">
        <f t="shared" si="36"/>
        <v>0</v>
      </c>
      <c r="N139" s="108">
        <f t="shared" si="37"/>
        <v>0</v>
      </c>
      <c r="O139" s="15">
        <f>IF(COUNT(N134:N139)&lt;6,SUM(N134:N139),SUM(N134:N139)-MIN(N134:N139))</f>
        <v>0</v>
      </c>
      <c r="P139" s="8" t="s">
        <v>11</v>
      </c>
    </row>
    <row r="140" spans="1:16" ht="16.5" thickTop="1" thickBot="1">
      <c r="A140" s="13">
        <f>szkoły!D34</f>
        <v>0</v>
      </c>
      <c r="B140" s="113" t="s">
        <v>6</v>
      </c>
      <c r="C140" s="25" t="s">
        <v>3</v>
      </c>
      <c r="D140" s="27" t="s">
        <v>7</v>
      </c>
      <c r="E140" s="28" t="s">
        <v>8</v>
      </c>
      <c r="F140" s="27" t="s">
        <v>7</v>
      </c>
      <c r="G140" s="27" t="s">
        <v>5</v>
      </c>
      <c r="H140" s="27" t="s">
        <v>7</v>
      </c>
      <c r="I140" s="27" t="s">
        <v>0</v>
      </c>
      <c r="J140" s="27" t="s">
        <v>7</v>
      </c>
      <c r="K140" s="29" t="s">
        <v>2</v>
      </c>
      <c r="L140" s="27" t="s">
        <v>7</v>
      </c>
      <c r="M140" s="26" t="s">
        <v>9</v>
      </c>
      <c r="N140" s="26" t="s">
        <v>10</v>
      </c>
      <c r="O140" s="14"/>
      <c r="P140" s="9"/>
    </row>
    <row r="141" spans="1:16" ht="18" thickTop="1" thickBot="1">
      <c r="A141" s="10"/>
      <c r="B141" s="114">
        <f>szkoły!D35</f>
        <v>0</v>
      </c>
      <c r="C141" s="103"/>
      <c r="D141" s="104">
        <f>IF(C141&gt;="",0,IF(C141&gt;=11.61,0,IF(C141&lt;6.91,(200+(6.91-C141)*100),VLOOKUP(-C141,baza!$E:$F,2,1))))</f>
        <v>0</v>
      </c>
      <c r="E141" s="103"/>
      <c r="F141" s="104">
        <f>IF(E141&lt;18,0,IF(E141&gt;104,(200+(E141-104)*4),VLOOKUP(E141,baza!$C$3:$F$202,4,1)))</f>
        <v>0</v>
      </c>
      <c r="G141" s="105"/>
      <c r="H141" s="104">
        <f>IF(G141&lt;baza!$I$202,0,IF(G141&gt;baza!$I$3,(200+(G141-206)*2),VLOOKUP(G141,baza!$I:$J,2,0)))</f>
        <v>0</v>
      </c>
      <c r="I141" s="105"/>
      <c r="J141" s="104">
        <f>IF(I141&lt;210,0,IF(I141&gt;712,(200+I141-712),VLOOKUP(I141,baza!$B$3:$F$202,5,1)))</f>
        <v>0</v>
      </c>
      <c r="K141" s="106"/>
      <c r="L141" s="104">
        <f>IF(K141="",0,IF(K141&gt;(-1*baza!$D$3),0,IF(K141&lt;232.3,INT(200+(232.3-K141)*3),VLOOKUP(-K141,baza!$D$1:$F$203,3,1))))</f>
        <v>0</v>
      </c>
      <c r="M141" s="107">
        <f t="shared" ref="M141:M146" si="38">(D141+F141+H141+J141)</f>
        <v>0</v>
      </c>
      <c r="N141" s="108">
        <f t="shared" ref="N141:N146" si="39">M141+L141</f>
        <v>0</v>
      </c>
      <c r="O141" s="14"/>
      <c r="P141" s="9"/>
    </row>
    <row r="142" spans="1:16" ht="18" thickTop="1" thickBot="1">
      <c r="A142" s="30" t="str">
        <f>O145 &amp;"  " &amp;"I dzień"</f>
        <v>0  I dzień</v>
      </c>
      <c r="B142" s="114">
        <f>szkoły!D36</f>
        <v>0</v>
      </c>
      <c r="C142" s="103"/>
      <c r="D142" s="104">
        <f>IF(C142&gt;="",0,IF(C142&gt;=11.61,0,IF(C142&lt;6.91,(200+(6.91-C142)*100),VLOOKUP(-C142,baza!$E:$F,2,1))))</f>
        <v>0</v>
      </c>
      <c r="E142" s="103"/>
      <c r="F142" s="104">
        <f>IF(E142&lt;18,0,IF(E142&gt;104,(200+(E142-104)*4),VLOOKUP(E142,baza!$C$3:$F$202,4,1)))</f>
        <v>0</v>
      </c>
      <c r="G142" s="105"/>
      <c r="H142" s="104">
        <f>IF(G142&lt;baza!$I$202,0,IF(G142&gt;baza!$I$3,(200+(G142-206)*2),VLOOKUP(G142,baza!$I:$J,2,0)))</f>
        <v>0</v>
      </c>
      <c r="I142" s="105"/>
      <c r="J142" s="104">
        <f>IF(I142&lt;210,0,IF(I142&gt;712,(200+I142-712),VLOOKUP(I142,baza!$B$3:$F$202,5,1)))</f>
        <v>0</v>
      </c>
      <c r="K142" s="106"/>
      <c r="L142" s="104">
        <f>IF(K142="",0,IF(K142&gt;(-1*baza!$D$3),0,IF(K142&lt;232.3,INT(200+(232.3-K142)*3),VLOOKUP(-K142,baza!$D$1:$F$203,3,1))))</f>
        <v>0</v>
      </c>
      <c r="M142" s="107">
        <f t="shared" si="38"/>
        <v>0</v>
      </c>
      <c r="N142" s="108">
        <f t="shared" si="39"/>
        <v>0</v>
      </c>
      <c r="O142" s="14"/>
      <c r="P142" s="9"/>
    </row>
    <row r="143" spans="1:16" ht="18" thickTop="1" thickBot="1">
      <c r="A143" s="30" t="str">
        <f>O146 &amp;"  " &amp;"II dzień"</f>
        <v>0  II dzień</v>
      </c>
      <c r="B143" s="114">
        <f>szkoły!D37</f>
        <v>0</v>
      </c>
      <c r="C143" s="103"/>
      <c r="D143" s="104">
        <f>IF(C143&gt;="",0,IF(C143&gt;=11.61,0,IF(C143&lt;6.91,(200+(6.91-C143)*100),VLOOKUP(-C143,baza!$E:$F,2,1))))</f>
        <v>0</v>
      </c>
      <c r="E143" s="103"/>
      <c r="F143" s="104">
        <f>IF(E143&lt;18,0,IF(E143&gt;104,(200+(E143-104)*4),VLOOKUP(E143,baza!$C$3:$F$202,4,1)))</f>
        <v>0</v>
      </c>
      <c r="G143" s="105"/>
      <c r="H143" s="104">
        <f>IF(G143&lt;baza!$I$202,0,IF(G143&gt;baza!$I$3,(200+(G143-206)*2),VLOOKUP(G143,baza!$I:$J,2,0)))</f>
        <v>0</v>
      </c>
      <c r="I143" s="105"/>
      <c r="J143" s="104">
        <f>IF(I143&lt;210,0,IF(I143&gt;712,(200+I143-712),VLOOKUP(I143,baza!$B$3:$F$202,5,1)))</f>
        <v>0</v>
      </c>
      <c r="K143" s="106"/>
      <c r="L143" s="104">
        <f>IF(K143="",0,IF(K143&gt;(-1*baza!$D$3),0,IF(K143&lt;232.3,INT(200+(232.3-K143)*3),VLOOKUP(-K143,baza!$D$1:$F$203,3,1))))</f>
        <v>0</v>
      </c>
      <c r="M143" s="107">
        <f t="shared" si="38"/>
        <v>0</v>
      </c>
      <c r="N143" s="108">
        <f t="shared" si="39"/>
        <v>0</v>
      </c>
      <c r="O143" s="14"/>
      <c r="P143" s="9"/>
    </row>
    <row r="144" spans="1:16" ht="18" thickTop="1" thickBot="1">
      <c r="A144" s="10"/>
      <c r="B144" s="114">
        <f>szkoły!D38</f>
        <v>0</v>
      </c>
      <c r="C144" s="103"/>
      <c r="D144" s="104">
        <f>IF(C144&gt;="",0,IF(C144&gt;=11.61,0,IF(C144&lt;6.91,(200+(6.91-C144)*100),VLOOKUP(-C144,baza!$E:$F,2,1))))</f>
        <v>0</v>
      </c>
      <c r="E144" s="103"/>
      <c r="F144" s="104">
        <f>IF(E144&lt;18,0,IF(E144&gt;104,(200+(E144-104)*4),VLOOKUP(E144,baza!$C$3:$F$202,4,1)))</f>
        <v>0</v>
      </c>
      <c r="G144" s="105"/>
      <c r="H144" s="104">
        <f>IF(G144&lt;baza!$I$202,0,IF(G144&gt;baza!$I$3,(200+(G144-206)*2),VLOOKUP(G144,baza!$I:$J,2,0)))</f>
        <v>0</v>
      </c>
      <c r="I144" s="105"/>
      <c r="J144" s="104">
        <f>IF(I144&lt;210,0,IF(I144&gt;712,(200+I144-712),VLOOKUP(I144,baza!$B$3:$F$202,5,1)))</f>
        <v>0</v>
      </c>
      <c r="K144" s="106"/>
      <c r="L144" s="104">
        <f>IF(K144="",0,IF(K144&gt;(-1*baza!$D$3),0,IF(K144&lt;232.3,INT(200+(232.3-K144)*3),VLOOKUP(-K144,baza!$D$1:$F$203,3,1))))</f>
        <v>0</v>
      </c>
      <c r="M144" s="107">
        <f t="shared" si="38"/>
        <v>0</v>
      </c>
      <c r="N144" s="108">
        <f t="shared" si="39"/>
        <v>0</v>
      </c>
      <c r="O144" s="14"/>
      <c r="P144" s="9"/>
    </row>
    <row r="145" spans="1:16" ht="18" thickTop="1" thickBot="1">
      <c r="A145" s="10"/>
      <c r="B145" s="114">
        <f>szkoły!D39</f>
        <v>0</v>
      </c>
      <c r="C145" s="103"/>
      <c r="D145" s="104">
        <f>IF(C145&gt;="",0,IF(C145&gt;=11.61,0,IF(C145&lt;6.91,(200+(6.91-C145)*100),VLOOKUP(-C145,baza!$E:$F,2,1))))</f>
        <v>0</v>
      </c>
      <c r="E145" s="103"/>
      <c r="F145" s="104">
        <f>IF(E145&lt;18,0,IF(E145&gt;104,(200+(E145-104)*4),VLOOKUP(E145,baza!$C$3:$F$202,4,1)))</f>
        <v>0</v>
      </c>
      <c r="G145" s="105"/>
      <c r="H145" s="104">
        <f>IF(G145&lt;baza!$I$202,0,IF(G145&gt;baza!$I$3,(200+(G145-206)*2),VLOOKUP(G145,baza!$I:$J,2,0)))</f>
        <v>0</v>
      </c>
      <c r="I145" s="105"/>
      <c r="J145" s="104">
        <f>IF(I145&lt;210,0,IF(I145&gt;712,(200+I145-712),VLOOKUP(I145,baza!$B$3:$F$202,5,1)))</f>
        <v>0</v>
      </c>
      <c r="K145" s="106"/>
      <c r="L145" s="104">
        <f>IF(K145="",0,IF(K145&gt;(-1*baza!$D$3),0,IF(K145&lt;232.3,INT(200+(232.3-K145)*3),VLOOKUP(-K145,baza!$D$1:$F$203,3,1))))</f>
        <v>0</v>
      </c>
      <c r="M145" s="107">
        <f t="shared" si="38"/>
        <v>0</v>
      </c>
      <c r="N145" s="108">
        <f t="shared" si="39"/>
        <v>0</v>
      </c>
      <c r="O145" s="15">
        <f>SUM(M141:M146)</f>
        <v>0</v>
      </c>
      <c r="P145" s="8" t="s">
        <v>9</v>
      </c>
    </row>
    <row r="146" spans="1:16" ht="18" thickTop="1" thickBot="1">
      <c r="A146" s="10"/>
      <c r="B146" s="114">
        <f>szkoły!D40</f>
        <v>0</v>
      </c>
      <c r="C146" s="103"/>
      <c r="D146" s="104">
        <f>IF(C146&gt;="",0,IF(C146&gt;=11.61,0,IF(C146&lt;6.91,(200+(6.91-C146)*100),VLOOKUP(-C146,baza!$E:$F,2,1))))</f>
        <v>0</v>
      </c>
      <c r="E146" s="103"/>
      <c r="F146" s="104">
        <f>IF(E146&lt;18,0,IF(E146&gt;104,(200+(E146-104)*4),VLOOKUP(E146,baza!$C$3:$F$202,4,1)))</f>
        <v>0</v>
      </c>
      <c r="G146" s="105"/>
      <c r="H146" s="104">
        <f>IF(G146&lt;baza!$I$202,0,IF(G146&gt;baza!$I$3,(200+(G146-206)*2),VLOOKUP(G146,baza!$I:$J,2,0)))</f>
        <v>0</v>
      </c>
      <c r="I146" s="105"/>
      <c r="J146" s="104">
        <f>IF(I146&lt;210,0,IF(I146&gt;712,(200+I146-712),VLOOKUP(I146,baza!$B$3:$F$202,5,1)))</f>
        <v>0</v>
      </c>
      <c r="K146" s="106"/>
      <c r="L146" s="104">
        <f>IF(K146="",0,IF(K146&gt;(-1*baza!$D$3),0,IF(K146&lt;232.3,INT(200+(232.3-K146)*3),VLOOKUP(-K146,baza!$D$1:$F$203,3,1))))</f>
        <v>0</v>
      </c>
      <c r="M146" s="107">
        <f t="shared" si="38"/>
        <v>0</v>
      </c>
      <c r="N146" s="108">
        <f t="shared" si="39"/>
        <v>0</v>
      </c>
      <c r="O146" s="15">
        <f>IF(COUNT(N141:N146)&lt;6,SUM(N141:N146),SUM(N141:N146)-MIN(N141:N146))</f>
        <v>0</v>
      </c>
      <c r="P146" s="8" t="s">
        <v>11</v>
      </c>
    </row>
    <row r="147" spans="1:16" ht="16.5" thickTop="1" thickBot="1">
      <c r="A147" s="13">
        <f>szkoły!A42</f>
        <v>0</v>
      </c>
      <c r="B147" s="113" t="s">
        <v>6</v>
      </c>
      <c r="C147" s="25" t="s">
        <v>3</v>
      </c>
      <c r="D147" s="27" t="s">
        <v>7</v>
      </c>
      <c r="E147" s="28" t="s">
        <v>8</v>
      </c>
      <c r="F147" s="27" t="s">
        <v>7</v>
      </c>
      <c r="G147" s="27" t="s">
        <v>5</v>
      </c>
      <c r="H147" s="27" t="s">
        <v>7</v>
      </c>
      <c r="I147" s="27" t="s">
        <v>0</v>
      </c>
      <c r="J147" s="27" t="s">
        <v>7</v>
      </c>
      <c r="K147" s="29" t="s">
        <v>2</v>
      </c>
      <c r="L147" s="27" t="s">
        <v>7</v>
      </c>
      <c r="M147" s="26" t="s">
        <v>9</v>
      </c>
      <c r="N147" s="26" t="s">
        <v>10</v>
      </c>
      <c r="O147" s="14"/>
      <c r="P147" s="9"/>
    </row>
    <row r="148" spans="1:16" ht="18" thickTop="1" thickBot="1">
      <c r="A148" s="7"/>
      <c r="B148" s="114">
        <f>szkoły!A43</f>
        <v>0</v>
      </c>
      <c r="C148" s="103"/>
      <c r="D148" s="104">
        <f>IF(C148&gt;="",0,IF(C148&gt;=11.61,0,IF(C148&lt;6.91,(200+(6.91-C148)*100),VLOOKUP(-C148,baza!$E:$F,2,1))))</f>
        <v>0</v>
      </c>
      <c r="E148" s="103"/>
      <c r="F148" s="104">
        <f>IF(E148&lt;18,0,IF(E148&gt;104,(200+(E148-104)*4),VLOOKUP(E148,baza!$C$3:$F$202,4,1)))</f>
        <v>0</v>
      </c>
      <c r="G148" s="105"/>
      <c r="H148" s="104">
        <f>IF(G148&lt;baza!$I$202,0,IF(G148&gt;baza!$I$3,(200+(G148-206)*2),VLOOKUP(G148,baza!$I:$J,2,0)))</f>
        <v>0</v>
      </c>
      <c r="I148" s="105"/>
      <c r="J148" s="104">
        <f>IF(I148&lt;210,0,IF(I148&gt;712,(200+I148-712),VLOOKUP(I148,baza!$B$3:$F$202,5,1)))</f>
        <v>0</v>
      </c>
      <c r="K148" s="106"/>
      <c r="L148" s="104">
        <f>IF(K148="",0,IF(K148&gt;(-1*baza!$D$3),0,IF(K148&lt;232.3,INT(200+(232.3-K148)*3),VLOOKUP(-K148,baza!$D$1:$F$203,3,1))))</f>
        <v>0</v>
      </c>
      <c r="M148" s="107">
        <f t="shared" ref="M148:M153" si="40">(D148+F148+H148+J148)</f>
        <v>0</v>
      </c>
      <c r="N148" s="108">
        <f t="shared" ref="N148:N153" si="41">M148+L148</f>
        <v>0</v>
      </c>
      <c r="O148" s="14"/>
      <c r="P148" s="9"/>
    </row>
    <row r="149" spans="1:16" ht="18" thickTop="1" thickBot="1">
      <c r="A149" s="30" t="str">
        <f>O152 &amp;"  " &amp;"I dzień"</f>
        <v>0  I dzień</v>
      </c>
      <c r="B149" s="114">
        <f>szkoły!A44</f>
        <v>0</v>
      </c>
      <c r="C149" s="103"/>
      <c r="D149" s="104">
        <f>IF(C149&gt;="",0,IF(C149&gt;=11.61,0,IF(C149&lt;6.91,(200+(6.91-C149)*100),VLOOKUP(-C149,baza!$E:$F,2,1))))</f>
        <v>0</v>
      </c>
      <c r="E149" s="103"/>
      <c r="F149" s="104">
        <f>IF(E149&lt;18,0,IF(E149&gt;104,(200+(E149-104)*4),VLOOKUP(E149,baza!$C$3:$F$202,4,1)))</f>
        <v>0</v>
      </c>
      <c r="G149" s="105"/>
      <c r="H149" s="104">
        <f>IF(G149&lt;baza!$I$202,0,IF(G149&gt;baza!$I$3,(200+(G149-206)*2),VLOOKUP(G149,baza!$I:$J,2,0)))</f>
        <v>0</v>
      </c>
      <c r="I149" s="105"/>
      <c r="J149" s="104">
        <f>IF(I149&lt;210,0,IF(I149&gt;712,(200+I149-712),VLOOKUP(I149,baza!$B$3:$F$202,5,1)))</f>
        <v>0</v>
      </c>
      <c r="K149" s="106"/>
      <c r="L149" s="104">
        <f>IF(K149="",0,IF(K149&gt;(-1*baza!$D$3),0,IF(K149&lt;232.3,INT(200+(232.3-K149)*3),VLOOKUP(-K149,baza!$D$1:$F$203,3,1))))</f>
        <v>0</v>
      </c>
      <c r="M149" s="107">
        <f t="shared" si="40"/>
        <v>0</v>
      </c>
      <c r="N149" s="108">
        <f t="shared" si="41"/>
        <v>0</v>
      </c>
      <c r="O149" s="14"/>
      <c r="P149" s="9"/>
    </row>
    <row r="150" spans="1:16" ht="18" thickTop="1" thickBot="1">
      <c r="A150" s="30" t="str">
        <f>O153 &amp;"  " &amp;"II dzień"</f>
        <v>0  II dzień</v>
      </c>
      <c r="B150" s="114">
        <f>szkoły!A45</f>
        <v>0</v>
      </c>
      <c r="C150" s="103"/>
      <c r="D150" s="104">
        <f>IF(C150&gt;="",0,IF(C150&gt;=11.61,0,IF(C150&lt;6.91,(200+(6.91-C150)*100),VLOOKUP(-C150,baza!$E:$F,2,1))))</f>
        <v>0</v>
      </c>
      <c r="E150" s="103"/>
      <c r="F150" s="104">
        <f>IF(E150&lt;18,0,IF(E150&gt;104,(200+(E150-104)*4),VLOOKUP(E150,baza!$C$3:$F$202,4,1)))</f>
        <v>0</v>
      </c>
      <c r="G150" s="105"/>
      <c r="H150" s="104">
        <f>IF(G150&lt;baza!$I$202,0,IF(G150&gt;baza!$I$3,(200+(G150-206)*2),VLOOKUP(G150,baza!$I:$J,2,0)))</f>
        <v>0</v>
      </c>
      <c r="I150" s="105"/>
      <c r="J150" s="104">
        <f>IF(I150&lt;210,0,IF(I150&gt;712,(200+I150-712),VLOOKUP(I150,baza!$B$3:$F$202,5,1)))</f>
        <v>0</v>
      </c>
      <c r="K150" s="106"/>
      <c r="L150" s="104">
        <f>IF(K150="",0,IF(K150&gt;(-1*baza!$D$3),0,IF(K150&lt;232.3,INT(200+(232.3-K150)*3),VLOOKUP(-K150,baza!$D$1:$F$203,3,1))))</f>
        <v>0</v>
      </c>
      <c r="M150" s="107">
        <f t="shared" si="40"/>
        <v>0</v>
      </c>
      <c r="N150" s="108">
        <f t="shared" si="41"/>
        <v>0</v>
      </c>
      <c r="O150" s="14"/>
      <c r="P150" s="9"/>
    </row>
    <row r="151" spans="1:16" ht="18" thickTop="1" thickBot="1">
      <c r="A151" s="7"/>
      <c r="B151" s="114">
        <f>szkoły!A46</f>
        <v>0</v>
      </c>
      <c r="C151" s="103"/>
      <c r="D151" s="104">
        <f>IF(C151&gt;="",0,IF(C151&gt;=11.61,0,IF(C151&lt;6.91,(200+(6.91-C151)*100),VLOOKUP(-C151,baza!$E:$F,2,1))))</f>
        <v>0</v>
      </c>
      <c r="E151" s="103"/>
      <c r="F151" s="104">
        <f>IF(E151&lt;18,0,IF(E151&gt;104,(200+(E151-104)*4),VLOOKUP(E151,baza!$C$3:$F$202,4,1)))</f>
        <v>0</v>
      </c>
      <c r="G151" s="105"/>
      <c r="H151" s="104">
        <f>IF(G151&lt;baza!$I$202,0,IF(G151&gt;baza!$I$3,(200+(G151-206)*2),VLOOKUP(G151,baza!$I:$J,2,0)))</f>
        <v>0</v>
      </c>
      <c r="I151" s="105"/>
      <c r="J151" s="104">
        <f>IF(I151&lt;210,0,IF(I151&gt;712,(200+I151-712),VLOOKUP(I151,baza!$B$3:$F$202,5,1)))</f>
        <v>0</v>
      </c>
      <c r="K151" s="106"/>
      <c r="L151" s="104">
        <f>IF(K151="",0,IF(K151&gt;(-1*baza!$D$3),0,IF(K151&lt;232.3,INT(200+(232.3-K151)*3),VLOOKUP(-K151,baza!$D$1:$F$203,3,1))))</f>
        <v>0</v>
      </c>
      <c r="M151" s="107">
        <f t="shared" si="40"/>
        <v>0</v>
      </c>
      <c r="N151" s="108">
        <f t="shared" si="41"/>
        <v>0</v>
      </c>
      <c r="O151" s="14"/>
      <c r="P151" s="9"/>
    </row>
    <row r="152" spans="1:16" ht="18" thickTop="1" thickBot="1">
      <c r="A152" s="7"/>
      <c r="B152" s="114">
        <f>szkoły!A47</f>
        <v>0</v>
      </c>
      <c r="C152" s="103"/>
      <c r="D152" s="104">
        <f>IF(C152&gt;="",0,IF(C152&gt;=11.61,0,IF(C152&lt;6.91,(200+(6.91-C152)*100),VLOOKUP(-C152,baza!$E:$F,2,1))))</f>
        <v>0</v>
      </c>
      <c r="E152" s="103"/>
      <c r="F152" s="104">
        <f>IF(E152&lt;18,0,IF(E152&gt;104,(200+(E152-104)*4),VLOOKUP(E152,baza!$C$3:$F$202,4,1)))</f>
        <v>0</v>
      </c>
      <c r="G152" s="105"/>
      <c r="H152" s="104">
        <f>IF(G152&lt;baza!$I$202,0,IF(G152&gt;baza!$I$3,(200+(G152-206)*2),VLOOKUP(G152,baza!$I:$J,2,0)))</f>
        <v>0</v>
      </c>
      <c r="I152" s="105"/>
      <c r="J152" s="104">
        <f>IF(I152&lt;210,0,IF(I152&gt;712,(200+I152-712),VLOOKUP(I152,baza!$B$3:$F$202,5,1)))</f>
        <v>0</v>
      </c>
      <c r="K152" s="106"/>
      <c r="L152" s="104">
        <f>IF(K152="",0,IF(K152&gt;(-1*baza!$D$3),0,IF(K152&lt;232.3,INT(200+(232.3-K152)*3),VLOOKUP(-K152,baza!$D$1:$F$203,3,1))))</f>
        <v>0</v>
      </c>
      <c r="M152" s="107">
        <f t="shared" si="40"/>
        <v>0</v>
      </c>
      <c r="N152" s="108">
        <f t="shared" si="41"/>
        <v>0</v>
      </c>
      <c r="O152" s="15">
        <f>SUM(M148:M153)</f>
        <v>0</v>
      </c>
      <c r="P152" s="8" t="s">
        <v>9</v>
      </c>
    </row>
    <row r="153" spans="1:16" ht="18" thickTop="1" thickBot="1">
      <c r="A153" s="7"/>
      <c r="B153" s="114">
        <f>szkoły!A48</f>
        <v>0</v>
      </c>
      <c r="C153" s="103"/>
      <c r="D153" s="104">
        <f>IF(C153&gt;="",0,IF(C153&gt;=11.61,0,IF(C153&lt;6.91,(200+(6.91-C153)*100),VLOOKUP(-C153,baza!$E:$F,2,1))))</f>
        <v>0</v>
      </c>
      <c r="E153" s="103"/>
      <c r="F153" s="104">
        <f>IF(E153&lt;18,0,IF(E153&gt;104,(200+(E153-104)*4),VLOOKUP(E153,baza!$C$3:$F$202,4,1)))</f>
        <v>0</v>
      </c>
      <c r="G153" s="105"/>
      <c r="H153" s="104">
        <f>IF(G153&lt;baza!$I$202,0,IF(G153&gt;baza!$I$3,(200+(G153-206)*2),VLOOKUP(G153,baza!$I:$J,2,0)))</f>
        <v>0</v>
      </c>
      <c r="I153" s="105"/>
      <c r="J153" s="104">
        <f>IF(I153&lt;210,0,IF(I153&gt;712,(200+I153-712),VLOOKUP(I153,baza!$B$3:$F$202,5,1)))</f>
        <v>0</v>
      </c>
      <c r="K153" s="106"/>
      <c r="L153" s="104">
        <f>IF(K153="",0,IF(K153&gt;(-1*baza!$D$3),0,IF(K153&lt;232.3,INT(200+(232.3-K153)*3),VLOOKUP(-K153,baza!$D$1:$F$203,3,1))))</f>
        <v>0</v>
      </c>
      <c r="M153" s="107">
        <f t="shared" si="40"/>
        <v>0</v>
      </c>
      <c r="N153" s="108">
        <f t="shared" si="41"/>
        <v>0</v>
      </c>
      <c r="O153" s="15">
        <f>IF(COUNT(N148:N153)&lt;6,SUM(N148:N153),SUM(N148:N153)-MIN(N148:N153))</f>
        <v>0</v>
      </c>
      <c r="P153" s="8" t="s">
        <v>11</v>
      </c>
    </row>
    <row r="154" spans="1:16" ht="16.5" thickTop="1" thickBot="1">
      <c r="A154" s="13">
        <f>szkoły!B42</f>
        <v>0</v>
      </c>
      <c r="B154" s="113" t="s">
        <v>6</v>
      </c>
      <c r="C154" s="25" t="s">
        <v>3</v>
      </c>
      <c r="D154" s="27" t="s">
        <v>7</v>
      </c>
      <c r="E154" s="28" t="s">
        <v>8</v>
      </c>
      <c r="F154" s="27" t="s">
        <v>7</v>
      </c>
      <c r="G154" s="27" t="s">
        <v>5</v>
      </c>
      <c r="H154" s="27" t="s">
        <v>7</v>
      </c>
      <c r="I154" s="27" t="s">
        <v>0</v>
      </c>
      <c r="J154" s="27" t="s">
        <v>7</v>
      </c>
      <c r="K154" s="29" t="s">
        <v>2</v>
      </c>
      <c r="L154" s="27" t="s">
        <v>7</v>
      </c>
      <c r="M154" s="26" t="s">
        <v>9</v>
      </c>
      <c r="N154" s="26" t="s">
        <v>10</v>
      </c>
      <c r="O154" s="14"/>
      <c r="P154" s="9"/>
    </row>
    <row r="155" spans="1:16" ht="18" thickTop="1" thickBot="1">
      <c r="A155" s="10"/>
      <c r="B155" s="114">
        <f>szkoły!B43</f>
        <v>0</v>
      </c>
      <c r="C155" s="103"/>
      <c r="D155" s="104">
        <f>IF(C155&gt;="",0,IF(C155&gt;=11.61,0,IF(C155&lt;6.91,(200+(6.91-C155)*100),VLOOKUP(-C155,baza!$E:$F,2,1))))</f>
        <v>0</v>
      </c>
      <c r="E155" s="103"/>
      <c r="F155" s="104">
        <f>IF(E155&lt;18,0,IF(E155&gt;104,(200+(E155-104)*4),VLOOKUP(E155,baza!$C$3:$F$202,4,1)))</f>
        <v>0</v>
      </c>
      <c r="G155" s="105"/>
      <c r="H155" s="104">
        <f>IF(G155&lt;baza!$I$202,0,IF(G155&gt;baza!$I$3,(200+(G155-206)*2),VLOOKUP(G155,baza!$I:$J,2,0)))</f>
        <v>0</v>
      </c>
      <c r="I155" s="105"/>
      <c r="J155" s="104">
        <f>IF(I155&lt;210,0,IF(I155&gt;712,(200+I155-712),VLOOKUP(I155,baza!$B$3:$F$202,5,1)))</f>
        <v>0</v>
      </c>
      <c r="K155" s="106"/>
      <c r="L155" s="104">
        <f>IF(K155="",0,IF(K155&gt;(-1*baza!$D$3),0,IF(K155&lt;232.3,INT(200+(232.3-K155)*3),VLOOKUP(-K155,baza!$D$1:$F$203,3,1))))</f>
        <v>0</v>
      </c>
      <c r="M155" s="107">
        <f t="shared" ref="M155:M160" si="42">(D155+F155+H155+J155)</f>
        <v>0</v>
      </c>
      <c r="N155" s="108">
        <f t="shared" ref="N155:N160" si="43">M155+L155</f>
        <v>0</v>
      </c>
      <c r="O155" s="14"/>
      <c r="P155" s="9"/>
    </row>
    <row r="156" spans="1:16" ht="18" thickTop="1" thickBot="1">
      <c r="A156" s="30" t="str">
        <f>O159 &amp;"  " &amp;"I dzień"</f>
        <v>0  I dzień</v>
      </c>
      <c r="B156" s="114">
        <f>szkoły!B44</f>
        <v>0</v>
      </c>
      <c r="C156" s="103"/>
      <c r="D156" s="104">
        <f>IF(C156&gt;="",0,IF(C156&gt;=11.61,0,IF(C156&lt;6.91,(200+(6.91-C156)*100),VLOOKUP(-C156,baza!$E:$F,2,1))))</f>
        <v>0</v>
      </c>
      <c r="E156" s="103"/>
      <c r="F156" s="104">
        <f>IF(E156&lt;18,0,IF(E156&gt;104,(200+(E156-104)*4),VLOOKUP(E156,baza!$C$3:$F$202,4,1)))</f>
        <v>0</v>
      </c>
      <c r="G156" s="105"/>
      <c r="H156" s="104">
        <f>IF(G156&lt;baza!$I$202,0,IF(G156&gt;baza!$I$3,(200+(G156-206)*2),VLOOKUP(G156,baza!$I:$J,2,0)))</f>
        <v>0</v>
      </c>
      <c r="I156" s="105"/>
      <c r="J156" s="104">
        <f>IF(I156&lt;210,0,IF(I156&gt;712,(200+I156-712),VLOOKUP(I156,baza!$B$3:$F$202,5,1)))</f>
        <v>0</v>
      </c>
      <c r="K156" s="106"/>
      <c r="L156" s="104">
        <f>IF(K156="",0,IF(K156&gt;(-1*baza!$D$3),0,IF(K156&lt;232.3,INT(200+(232.3-K156)*3),VLOOKUP(-K156,baza!$D$1:$F$203,3,1))))</f>
        <v>0</v>
      </c>
      <c r="M156" s="107">
        <f t="shared" si="42"/>
        <v>0</v>
      </c>
      <c r="N156" s="108">
        <f t="shared" si="43"/>
        <v>0</v>
      </c>
      <c r="O156" s="14"/>
      <c r="P156" s="9"/>
    </row>
    <row r="157" spans="1:16" ht="18" thickTop="1" thickBot="1">
      <c r="A157" s="30" t="str">
        <f>O160 &amp;"  " &amp;"II dzień"</f>
        <v>0  II dzień</v>
      </c>
      <c r="B157" s="114">
        <f>szkoły!B45</f>
        <v>0</v>
      </c>
      <c r="C157" s="103"/>
      <c r="D157" s="104">
        <f>IF(C157&gt;="",0,IF(C157&gt;=11.61,0,IF(C157&lt;6.91,(200+(6.91-C157)*100),VLOOKUP(-C157,baza!$E:$F,2,1))))</f>
        <v>0</v>
      </c>
      <c r="E157" s="103"/>
      <c r="F157" s="104">
        <f>IF(E157&lt;18,0,IF(E157&gt;104,(200+(E157-104)*4),VLOOKUP(E157,baza!$C$3:$F$202,4,1)))</f>
        <v>0</v>
      </c>
      <c r="G157" s="105"/>
      <c r="H157" s="104">
        <f>IF(G157&lt;baza!$I$202,0,IF(G157&gt;baza!$I$3,(200+(G157-206)*2),VLOOKUP(G157,baza!$I:$J,2,0)))</f>
        <v>0</v>
      </c>
      <c r="I157" s="105"/>
      <c r="J157" s="104">
        <f>IF(I157&lt;210,0,IF(I157&gt;712,(200+I157-712),VLOOKUP(I157,baza!$B$3:$F$202,5,1)))</f>
        <v>0</v>
      </c>
      <c r="K157" s="106"/>
      <c r="L157" s="104">
        <f>IF(K157="",0,IF(K157&gt;(-1*baza!$D$3),0,IF(K157&lt;232.3,INT(200+(232.3-K157)*3),VLOOKUP(-K157,baza!$D$1:$F$203,3,1))))</f>
        <v>0</v>
      </c>
      <c r="M157" s="107">
        <f t="shared" si="42"/>
        <v>0</v>
      </c>
      <c r="N157" s="108">
        <f t="shared" si="43"/>
        <v>0</v>
      </c>
      <c r="O157" s="14"/>
      <c r="P157" s="9"/>
    </row>
    <row r="158" spans="1:16" ht="18" thickTop="1" thickBot="1">
      <c r="A158" s="10"/>
      <c r="B158" s="114">
        <f>szkoły!B46</f>
        <v>0</v>
      </c>
      <c r="C158" s="103"/>
      <c r="D158" s="104">
        <f>IF(C158&gt;="",0,IF(C158&gt;=11.61,0,IF(C158&lt;6.91,(200+(6.91-C158)*100),VLOOKUP(-C158,baza!$E:$F,2,1))))</f>
        <v>0</v>
      </c>
      <c r="E158" s="103"/>
      <c r="F158" s="104">
        <f>IF(E158&lt;18,0,IF(E158&gt;104,(200+(E158-104)*4),VLOOKUP(E158,baza!$C$3:$F$202,4,1)))</f>
        <v>0</v>
      </c>
      <c r="G158" s="105"/>
      <c r="H158" s="104">
        <f>IF(G158&lt;baza!$I$202,0,IF(G158&gt;baza!$I$3,(200+(G158-206)*2),VLOOKUP(G158,baza!$I:$J,2,0)))</f>
        <v>0</v>
      </c>
      <c r="I158" s="105"/>
      <c r="J158" s="104">
        <f>IF(I158&lt;210,0,IF(I158&gt;712,(200+I158-712),VLOOKUP(I158,baza!$B$3:$F$202,5,1)))</f>
        <v>0</v>
      </c>
      <c r="K158" s="106"/>
      <c r="L158" s="104">
        <f>IF(K158="",0,IF(K158&gt;(-1*baza!$D$3),0,IF(K158&lt;232.3,INT(200+(232.3-K158)*3),VLOOKUP(-K158,baza!$D$1:$F$203,3,1))))</f>
        <v>0</v>
      </c>
      <c r="M158" s="107">
        <f t="shared" si="42"/>
        <v>0</v>
      </c>
      <c r="N158" s="108">
        <f t="shared" si="43"/>
        <v>0</v>
      </c>
      <c r="O158" s="14"/>
      <c r="P158" s="9"/>
    </row>
    <row r="159" spans="1:16" ht="18" thickTop="1" thickBot="1">
      <c r="A159" s="10"/>
      <c r="B159" s="114">
        <f>szkoły!B47</f>
        <v>0</v>
      </c>
      <c r="C159" s="103"/>
      <c r="D159" s="104">
        <f>IF(C159&gt;="",0,IF(C159&gt;=11.61,0,IF(C159&lt;6.91,(200+(6.91-C159)*100),VLOOKUP(-C159,baza!$E:$F,2,1))))</f>
        <v>0</v>
      </c>
      <c r="E159" s="103"/>
      <c r="F159" s="104">
        <f>IF(E159&lt;18,0,IF(E159&gt;104,(200+(E159-104)*4),VLOOKUP(E159,baza!$C$3:$F$202,4,1)))</f>
        <v>0</v>
      </c>
      <c r="G159" s="105"/>
      <c r="H159" s="104">
        <f>IF(G159&lt;baza!$I$202,0,IF(G159&gt;baza!$I$3,(200+(G159-206)*2),VLOOKUP(G159,baza!$I:$J,2,0)))</f>
        <v>0</v>
      </c>
      <c r="I159" s="105"/>
      <c r="J159" s="104">
        <f>IF(I159&lt;210,0,IF(I159&gt;712,(200+I159-712),VLOOKUP(I159,baza!$B$3:$F$202,5,1)))</f>
        <v>0</v>
      </c>
      <c r="K159" s="106"/>
      <c r="L159" s="104">
        <f>IF(K159="",0,IF(K159&gt;(-1*baza!$D$3),0,IF(K159&lt;232.3,INT(200+(232.3-K159)*3),VLOOKUP(-K159,baza!$D$1:$F$203,3,1))))</f>
        <v>0</v>
      </c>
      <c r="M159" s="107">
        <f t="shared" si="42"/>
        <v>0</v>
      </c>
      <c r="N159" s="108">
        <f t="shared" si="43"/>
        <v>0</v>
      </c>
      <c r="O159" s="15">
        <f>SUM(M155:M160)</f>
        <v>0</v>
      </c>
      <c r="P159" s="8" t="s">
        <v>9</v>
      </c>
    </row>
    <row r="160" spans="1:16" ht="18" thickTop="1" thickBot="1">
      <c r="A160" s="10"/>
      <c r="B160" s="114">
        <f>szkoły!B48</f>
        <v>0</v>
      </c>
      <c r="C160" s="103"/>
      <c r="D160" s="104">
        <f>IF(C160&gt;="",0,IF(C160&gt;=11.61,0,IF(C160&lt;6.91,(200+(6.91-C160)*100),VLOOKUP(-C160,baza!$E:$F,2,1))))</f>
        <v>0</v>
      </c>
      <c r="E160" s="103"/>
      <c r="F160" s="104">
        <f>IF(E160&lt;18,0,IF(E160&gt;104,(200+(E160-104)*4),VLOOKUP(E160,baza!$C$3:$F$202,4,1)))</f>
        <v>0</v>
      </c>
      <c r="G160" s="105"/>
      <c r="H160" s="104">
        <f>IF(G160&lt;baza!$I$202,0,IF(G160&gt;baza!$I$3,(200+(G160-206)*2),VLOOKUP(G160,baza!$I:$J,2,0)))</f>
        <v>0</v>
      </c>
      <c r="I160" s="105"/>
      <c r="J160" s="104">
        <f>IF(I160&lt;210,0,IF(I160&gt;712,(200+I160-712),VLOOKUP(I160,baza!$B$3:$F$202,5,1)))</f>
        <v>0</v>
      </c>
      <c r="K160" s="106"/>
      <c r="L160" s="104">
        <f>IF(K160="",0,IF(K160&gt;(-1*baza!$D$3),0,IF(K160&lt;232.3,INT(200+(232.3-K160)*3),VLOOKUP(-K160,baza!$D$1:$F$203,3,1))))</f>
        <v>0</v>
      </c>
      <c r="M160" s="107">
        <f t="shared" si="42"/>
        <v>0</v>
      </c>
      <c r="N160" s="108">
        <f t="shared" si="43"/>
        <v>0</v>
      </c>
      <c r="O160" s="15">
        <f>IF(COUNT(N155:N160)&lt;6,SUM(N155:N160),SUM(N155:N160)-MIN(N155:N160))</f>
        <v>0</v>
      </c>
      <c r="P160" s="8" t="s">
        <v>11</v>
      </c>
    </row>
    <row r="161" spans="1:16" ht="16.5" thickTop="1" thickBot="1">
      <c r="A161" s="13">
        <f>szkoły!C42</f>
        <v>0</v>
      </c>
      <c r="B161" s="113" t="s">
        <v>6</v>
      </c>
      <c r="C161" s="25" t="s">
        <v>3</v>
      </c>
      <c r="D161" s="27" t="s">
        <v>7</v>
      </c>
      <c r="E161" s="28" t="s">
        <v>8</v>
      </c>
      <c r="F161" s="27" t="s">
        <v>7</v>
      </c>
      <c r="G161" s="27" t="s">
        <v>5</v>
      </c>
      <c r="H161" s="27" t="s">
        <v>7</v>
      </c>
      <c r="I161" s="27" t="s">
        <v>0</v>
      </c>
      <c r="J161" s="27" t="s">
        <v>7</v>
      </c>
      <c r="K161" s="29" t="s">
        <v>2</v>
      </c>
      <c r="L161" s="27" t="s">
        <v>7</v>
      </c>
      <c r="M161" s="26" t="s">
        <v>9</v>
      </c>
      <c r="N161" s="26" t="s">
        <v>10</v>
      </c>
      <c r="O161" s="14"/>
      <c r="P161" s="9"/>
    </row>
    <row r="162" spans="1:16" ht="18" thickTop="1" thickBot="1">
      <c r="A162" s="7"/>
      <c r="B162" s="114">
        <f>szkoły!C43</f>
        <v>0</v>
      </c>
      <c r="C162" s="103"/>
      <c r="D162" s="104">
        <f>IF(C162&gt;="",0,IF(C162&gt;=11.61,0,IF(C162&lt;6.91,(200+(6.91-C162)*100),VLOOKUP(-C162,baza!$E:$F,2,1))))</f>
        <v>0</v>
      </c>
      <c r="E162" s="103"/>
      <c r="F162" s="104">
        <f>IF(E162&lt;18,0,IF(E162&gt;104,(200+(E162-104)*4),VLOOKUP(E162,baza!$C$3:$F$202,4,1)))</f>
        <v>0</v>
      </c>
      <c r="G162" s="105"/>
      <c r="H162" s="104">
        <f>IF(G162&lt;baza!$I$202,0,IF(G162&gt;baza!$I$3,(200+(G162-206)*2),VLOOKUP(G162,baza!$I:$J,2,0)))</f>
        <v>0</v>
      </c>
      <c r="I162" s="105"/>
      <c r="J162" s="104">
        <f>IF(I162&lt;210,0,IF(I162&gt;712,(200+I162-712),VLOOKUP(I162,baza!$B$3:$F$202,5,1)))</f>
        <v>0</v>
      </c>
      <c r="K162" s="106"/>
      <c r="L162" s="104">
        <f>IF(K162="",0,IF(K162&gt;(-1*baza!$D$3),0,IF(K162&lt;232.3,INT(200+(232.3-K162)*3),VLOOKUP(-K162,baza!$D$1:$F$203,3,1))))</f>
        <v>0</v>
      </c>
      <c r="M162" s="107">
        <f t="shared" ref="M162:M167" si="44">(D162+F162+H162+J162)</f>
        <v>0</v>
      </c>
      <c r="N162" s="108">
        <f t="shared" ref="N162:N167" si="45">M162+L162</f>
        <v>0</v>
      </c>
      <c r="O162" s="14"/>
      <c r="P162" s="9"/>
    </row>
    <row r="163" spans="1:16" ht="18" thickTop="1" thickBot="1">
      <c r="A163" s="30" t="str">
        <f>O166 &amp;"  " &amp;"I dzień"</f>
        <v>0  I dzień</v>
      </c>
      <c r="B163" s="114">
        <f>szkoły!C44</f>
        <v>0</v>
      </c>
      <c r="C163" s="103"/>
      <c r="D163" s="104">
        <f>IF(C163&gt;="",0,IF(C163&gt;=11.61,0,IF(C163&lt;6.91,(200+(6.91-C163)*100),VLOOKUP(-C163,baza!$E:$F,2,1))))</f>
        <v>0</v>
      </c>
      <c r="E163" s="103"/>
      <c r="F163" s="104">
        <f>IF(E163&lt;18,0,IF(E163&gt;104,(200+(E163-104)*4),VLOOKUP(E163,baza!$C$3:$F$202,4,1)))</f>
        <v>0</v>
      </c>
      <c r="G163" s="105"/>
      <c r="H163" s="104">
        <f>IF(G163&lt;baza!$I$202,0,IF(G163&gt;baza!$I$3,(200+(G163-206)*2),VLOOKUP(G163,baza!$I:$J,2,0)))</f>
        <v>0</v>
      </c>
      <c r="I163" s="105"/>
      <c r="J163" s="104">
        <f>IF(I163&lt;210,0,IF(I163&gt;712,(200+I163-712),VLOOKUP(I163,baza!$B$3:$F$202,5,1)))</f>
        <v>0</v>
      </c>
      <c r="K163" s="106"/>
      <c r="L163" s="104">
        <f>IF(K163="",0,IF(K163&gt;(-1*baza!$D$3),0,IF(K163&lt;232.3,INT(200+(232.3-K163)*3),VLOOKUP(-K163,baza!$D$1:$F$203,3,1))))</f>
        <v>0</v>
      </c>
      <c r="M163" s="107">
        <f t="shared" si="44"/>
        <v>0</v>
      </c>
      <c r="N163" s="108">
        <f t="shared" si="45"/>
        <v>0</v>
      </c>
      <c r="O163" s="14"/>
      <c r="P163" s="9"/>
    </row>
    <row r="164" spans="1:16" ht="18" thickTop="1" thickBot="1">
      <c r="A164" s="30" t="str">
        <f>O167 &amp;"  " &amp;"II dzień"</f>
        <v>0  II dzień</v>
      </c>
      <c r="B164" s="114">
        <f>szkoły!C45</f>
        <v>0</v>
      </c>
      <c r="C164" s="103"/>
      <c r="D164" s="104">
        <f>IF(C164&gt;="",0,IF(C164&gt;=11.61,0,IF(C164&lt;6.91,(200+(6.91-C164)*100),VLOOKUP(-C164,baza!$E:$F,2,1))))</f>
        <v>0</v>
      </c>
      <c r="E164" s="103"/>
      <c r="F164" s="104">
        <f>IF(E164&lt;18,0,IF(E164&gt;104,(200+(E164-104)*4),VLOOKUP(E164,baza!$C$3:$F$202,4,1)))</f>
        <v>0</v>
      </c>
      <c r="G164" s="105"/>
      <c r="H164" s="104">
        <f>IF(G164&lt;baza!$I$202,0,IF(G164&gt;baza!$I$3,(200+(G164-206)*2),VLOOKUP(G164,baza!$I:$J,2,0)))</f>
        <v>0</v>
      </c>
      <c r="I164" s="105"/>
      <c r="J164" s="104">
        <f>IF(I164&lt;210,0,IF(I164&gt;712,(200+I164-712),VLOOKUP(I164,baza!$B$3:$F$202,5,1)))</f>
        <v>0</v>
      </c>
      <c r="K164" s="106"/>
      <c r="L164" s="104">
        <f>IF(K164="",0,IF(K164&gt;(-1*baza!$D$3),0,IF(K164&lt;232.3,INT(200+(232.3-K164)*3),VLOOKUP(-K164,baza!$D$1:$F$203,3,1))))</f>
        <v>0</v>
      </c>
      <c r="M164" s="107">
        <f t="shared" si="44"/>
        <v>0</v>
      </c>
      <c r="N164" s="108">
        <f t="shared" si="45"/>
        <v>0</v>
      </c>
      <c r="O164" s="14"/>
      <c r="P164" s="9"/>
    </row>
    <row r="165" spans="1:16" ht="18" thickTop="1" thickBot="1">
      <c r="A165" s="7"/>
      <c r="B165" s="114">
        <f>szkoły!C46</f>
        <v>0</v>
      </c>
      <c r="C165" s="103"/>
      <c r="D165" s="104">
        <f>IF(C165&gt;="",0,IF(C165&gt;=11.61,0,IF(C165&lt;6.91,(200+(6.91-C165)*100),VLOOKUP(-C165,baza!$E:$F,2,1))))</f>
        <v>0</v>
      </c>
      <c r="E165" s="103"/>
      <c r="F165" s="104">
        <f>IF(E165&lt;18,0,IF(E165&gt;104,(200+(E165-104)*4),VLOOKUP(E165,baza!$C$3:$F$202,4,1)))</f>
        <v>0</v>
      </c>
      <c r="G165" s="105"/>
      <c r="H165" s="104">
        <f>IF(G165&lt;baza!$I$202,0,IF(G165&gt;baza!$I$3,(200+(G165-206)*2),VLOOKUP(G165,baza!$I:$J,2,0)))</f>
        <v>0</v>
      </c>
      <c r="I165" s="105"/>
      <c r="J165" s="104">
        <f>IF(I165&lt;210,0,IF(I165&gt;712,(200+I165-712),VLOOKUP(I165,baza!$B$3:$F$202,5,1)))</f>
        <v>0</v>
      </c>
      <c r="K165" s="106"/>
      <c r="L165" s="104">
        <f>IF(K165="",0,IF(K165&gt;(-1*baza!$D$3),0,IF(K165&lt;232.3,INT(200+(232.3-K165)*3),VLOOKUP(-K165,baza!$D$1:$F$203,3,1))))</f>
        <v>0</v>
      </c>
      <c r="M165" s="107">
        <f t="shared" si="44"/>
        <v>0</v>
      </c>
      <c r="N165" s="108">
        <f t="shared" si="45"/>
        <v>0</v>
      </c>
      <c r="O165" s="14"/>
      <c r="P165" s="9"/>
    </row>
    <row r="166" spans="1:16" ht="18" thickTop="1" thickBot="1">
      <c r="A166" s="7"/>
      <c r="B166" s="114">
        <f>szkoły!C47</f>
        <v>0</v>
      </c>
      <c r="C166" s="103"/>
      <c r="D166" s="104">
        <f>IF(C166&gt;="",0,IF(C166&gt;=11.61,0,IF(C166&lt;6.91,(200+(6.91-C166)*100),VLOOKUP(-C166,baza!$E:$F,2,1))))</f>
        <v>0</v>
      </c>
      <c r="E166" s="103"/>
      <c r="F166" s="104">
        <f>IF(E166&lt;18,0,IF(E166&gt;104,(200+(E166-104)*4),VLOOKUP(E166,baza!$C$3:$F$202,4,1)))</f>
        <v>0</v>
      </c>
      <c r="G166" s="105"/>
      <c r="H166" s="104">
        <f>IF(G166&lt;baza!$I$202,0,IF(G166&gt;baza!$I$3,(200+(G166-206)*2),VLOOKUP(G166,baza!$I:$J,2,0)))</f>
        <v>0</v>
      </c>
      <c r="I166" s="105"/>
      <c r="J166" s="104">
        <f>IF(I166&lt;210,0,IF(I166&gt;712,(200+I166-712),VLOOKUP(I166,baza!$B$3:$F$202,5,1)))</f>
        <v>0</v>
      </c>
      <c r="K166" s="106"/>
      <c r="L166" s="104">
        <f>IF(K166="",0,IF(K166&gt;(-1*baza!$D$3),0,IF(K166&lt;232.3,INT(200+(232.3-K166)*3),VLOOKUP(-K166,baza!$D$1:$F$203,3,1))))</f>
        <v>0</v>
      </c>
      <c r="M166" s="107">
        <f t="shared" si="44"/>
        <v>0</v>
      </c>
      <c r="N166" s="108">
        <f t="shared" si="45"/>
        <v>0</v>
      </c>
      <c r="O166" s="15">
        <f>SUM(M162:M167)</f>
        <v>0</v>
      </c>
      <c r="P166" s="8" t="s">
        <v>9</v>
      </c>
    </row>
    <row r="167" spans="1:16" ht="18" thickTop="1" thickBot="1">
      <c r="A167" s="7"/>
      <c r="B167" s="114">
        <f>szkoły!C48</f>
        <v>0</v>
      </c>
      <c r="C167" s="103"/>
      <c r="D167" s="104">
        <f>IF(C167&gt;="",0,IF(C167&gt;=11.61,0,IF(C167&lt;6.91,(200+(6.91-C167)*100),VLOOKUP(-C167,baza!$E:$F,2,1))))</f>
        <v>0</v>
      </c>
      <c r="E167" s="103"/>
      <c r="F167" s="104">
        <f>IF(E167&lt;18,0,IF(E167&gt;104,(200+(E167-104)*4),VLOOKUP(E167,baza!$C$3:$F$202,4,1)))</f>
        <v>0</v>
      </c>
      <c r="G167" s="105"/>
      <c r="H167" s="104">
        <f>IF(G167&lt;baza!$I$202,0,IF(G167&gt;baza!$I$3,(200+(G167-206)*2),VLOOKUP(G167,baza!$I:$J,2,0)))</f>
        <v>0</v>
      </c>
      <c r="I167" s="105"/>
      <c r="J167" s="104">
        <f>IF(I167&lt;210,0,IF(I167&gt;712,(200+I167-712),VLOOKUP(I167,baza!$B$3:$F$202,5,1)))</f>
        <v>0</v>
      </c>
      <c r="K167" s="106"/>
      <c r="L167" s="104">
        <f>IF(K167="",0,IF(K167&gt;(-1*baza!$D$3),0,IF(K167&lt;232.3,INT(200+(232.3-K167)*3),VLOOKUP(-K167,baza!$D$1:$F$203,3,1))))</f>
        <v>0</v>
      </c>
      <c r="M167" s="107">
        <f t="shared" si="44"/>
        <v>0</v>
      </c>
      <c r="N167" s="108">
        <f t="shared" si="45"/>
        <v>0</v>
      </c>
      <c r="O167" s="15">
        <f>IF(COUNT(N162:N167)&lt;6,SUM(N162:N167),SUM(N162:N167)-MIN(N162:N167))</f>
        <v>0</v>
      </c>
      <c r="P167" s="8" t="s">
        <v>11</v>
      </c>
    </row>
    <row r="168" spans="1:16" ht="16.5" thickTop="1" thickBot="1">
      <c r="A168" s="13">
        <f>szkoły!D42</f>
        <v>0</v>
      </c>
      <c r="B168" s="113" t="s">
        <v>6</v>
      </c>
      <c r="C168" s="25" t="s">
        <v>3</v>
      </c>
      <c r="D168" s="27" t="s">
        <v>7</v>
      </c>
      <c r="E168" s="28" t="s">
        <v>8</v>
      </c>
      <c r="F168" s="27" t="s">
        <v>7</v>
      </c>
      <c r="G168" s="27" t="s">
        <v>5</v>
      </c>
      <c r="H168" s="27" t="s">
        <v>7</v>
      </c>
      <c r="I168" s="27" t="s">
        <v>0</v>
      </c>
      <c r="J168" s="27" t="s">
        <v>7</v>
      </c>
      <c r="K168" s="29" t="s">
        <v>2</v>
      </c>
      <c r="L168" s="27" t="s">
        <v>7</v>
      </c>
      <c r="M168" s="26" t="s">
        <v>9</v>
      </c>
      <c r="N168" s="26" t="s">
        <v>10</v>
      </c>
      <c r="O168" s="14"/>
      <c r="P168" s="9"/>
    </row>
    <row r="169" spans="1:16" ht="18" thickTop="1" thickBot="1">
      <c r="A169" s="10"/>
      <c r="B169" s="114">
        <f>szkoły!D43</f>
        <v>0</v>
      </c>
      <c r="C169" s="103"/>
      <c r="D169" s="104">
        <f>IF(C169&gt;="",0,IF(C169&gt;=11.61,0,IF(C169&lt;6.91,(200+(6.91-C169)*100),VLOOKUP(-C169,baza!$E:$F,2,1))))</f>
        <v>0</v>
      </c>
      <c r="E169" s="103"/>
      <c r="F169" s="104">
        <f>IF(E169&lt;18,0,IF(E169&gt;104,(200+(E169-104)*4),VLOOKUP(E169,baza!$C$3:$F$202,4,1)))</f>
        <v>0</v>
      </c>
      <c r="G169" s="105"/>
      <c r="H169" s="104">
        <f>IF(G169&lt;baza!$I$202,0,IF(G169&gt;baza!$I$3,(200+(G169-206)*2),VLOOKUP(G169,baza!$I:$J,2,0)))</f>
        <v>0</v>
      </c>
      <c r="I169" s="105"/>
      <c r="J169" s="104">
        <f>IF(I169&lt;210,0,IF(I169&gt;712,(200+I169-712),VLOOKUP(I169,baza!$B$3:$F$202,5,1)))</f>
        <v>0</v>
      </c>
      <c r="K169" s="106"/>
      <c r="L169" s="104">
        <f>IF(K169="",0,IF(K169&gt;(-1*baza!$D$3),0,IF(K169&lt;232.3,INT(200+(232.3-K169)*3),VLOOKUP(-K169,baza!$D$1:$F$203,3,1))))</f>
        <v>0</v>
      </c>
      <c r="M169" s="107">
        <f t="shared" ref="M169:M174" si="46">(D169+F169+H169+J169)</f>
        <v>0</v>
      </c>
      <c r="N169" s="108">
        <f t="shared" ref="N169:N174" si="47">M169+L169</f>
        <v>0</v>
      </c>
      <c r="O169" s="14"/>
      <c r="P169" s="9"/>
    </row>
    <row r="170" spans="1:16" ht="18" thickTop="1" thickBot="1">
      <c r="A170" s="30" t="str">
        <f>O173 &amp;"  " &amp;"I dzień"</f>
        <v>0  I dzień</v>
      </c>
      <c r="B170" s="114">
        <f>szkoły!D44</f>
        <v>0</v>
      </c>
      <c r="C170" s="103"/>
      <c r="D170" s="104">
        <f>IF(C170&gt;="",0,IF(C170&gt;=11.61,0,IF(C170&lt;6.91,(200+(6.91-C170)*100),VLOOKUP(-C170,baza!$E:$F,2,1))))</f>
        <v>0</v>
      </c>
      <c r="E170" s="103"/>
      <c r="F170" s="104">
        <f>IF(E170&lt;18,0,IF(E170&gt;104,(200+(E170-104)*4),VLOOKUP(E170,baza!$C$3:$F$202,4,1)))</f>
        <v>0</v>
      </c>
      <c r="G170" s="105"/>
      <c r="H170" s="104">
        <f>IF(G170&lt;baza!$I$202,0,IF(G170&gt;baza!$I$3,(200+(G170-206)*2),VLOOKUP(G170,baza!$I:$J,2,0)))</f>
        <v>0</v>
      </c>
      <c r="I170" s="105"/>
      <c r="J170" s="104">
        <f>IF(I170&lt;210,0,IF(I170&gt;712,(200+I170-712),VLOOKUP(I170,baza!$B$3:$F$202,5,1)))</f>
        <v>0</v>
      </c>
      <c r="K170" s="106"/>
      <c r="L170" s="104">
        <f>IF(K170="",0,IF(K170&gt;(-1*baza!$D$3),0,IF(K170&lt;232.3,INT(200+(232.3-K170)*3),VLOOKUP(-K170,baza!$D$1:$F$203,3,1))))</f>
        <v>0</v>
      </c>
      <c r="M170" s="107">
        <f t="shared" si="46"/>
        <v>0</v>
      </c>
      <c r="N170" s="108">
        <f t="shared" si="47"/>
        <v>0</v>
      </c>
      <c r="O170" s="14"/>
      <c r="P170" s="9"/>
    </row>
    <row r="171" spans="1:16" ht="18" thickTop="1" thickBot="1">
      <c r="A171" s="30" t="str">
        <f>O174 &amp;"  " &amp;"II dzień"</f>
        <v>0  II dzień</v>
      </c>
      <c r="B171" s="114">
        <f>szkoły!D45</f>
        <v>0</v>
      </c>
      <c r="C171" s="103"/>
      <c r="D171" s="104">
        <f>IF(C171&gt;="",0,IF(C171&gt;=11.61,0,IF(C171&lt;6.91,(200+(6.91-C171)*100),VLOOKUP(-C171,baza!$E:$F,2,1))))</f>
        <v>0</v>
      </c>
      <c r="E171" s="103"/>
      <c r="F171" s="104">
        <f>IF(E171&lt;18,0,IF(E171&gt;104,(200+(E171-104)*4),VLOOKUP(E171,baza!$C$3:$F$202,4,1)))</f>
        <v>0</v>
      </c>
      <c r="G171" s="105"/>
      <c r="H171" s="104">
        <f>IF(G171&lt;baza!$I$202,0,IF(G171&gt;baza!$I$3,(200+(G171-206)*2),VLOOKUP(G171,baza!$I:$J,2,0)))</f>
        <v>0</v>
      </c>
      <c r="I171" s="105"/>
      <c r="J171" s="104">
        <f>IF(I171&lt;210,0,IF(I171&gt;712,(200+I171-712),VLOOKUP(I171,baza!$B$3:$F$202,5,1)))</f>
        <v>0</v>
      </c>
      <c r="K171" s="106"/>
      <c r="L171" s="104">
        <f>IF(K171="",0,IF(K171&gt;(-1*baza!$D$3),0,IF(K171&lt;232.3,INT(200+(232.3-K171)*3),VLOOKUP(-K171,baza!$D$1:$F$203,3,1))))</f>
        <v>0</v>
      </c>
      <c r="M171" s="107">
        <f t="shared" si="46"/>
        <v>0</v>
      </c>
      <c r="N171" s="108">
        <f t="shared" si="47"/>
        <v>0</v>
      </c>
      <c r="O171" s="14"/>
      <c r="P171" s="9"/>
    </row>
    <row r="172" spans="1:16" ht="18" thickTop="1" thickBot="1">
      <c r="A172" s="10"/>
      <c r="B172" s="114">
        <f>szkoły!D46</f>
        <v>0</v>
      </c>
      <c r="C172" s="103"/>
      <c r="D172" s="104">
        <f>IF(C172&gt;="",0,IF(C172&gt;=11.61,0,IF(C172&lt;6.91,(200+(6.91-C172)*100),VLOOKUP(-C172,baza!$E:$F,2,1))))</f>
        <v>0</v>
      </c>
      <c r="E172" s="103"/>
      <c r="F172" s="104">
        <f>IF(E172&lt;18,0,IF(E172&gt;104,(200+(E172-104)*4),VLOOKUP(E172,baza!$C$3:$F$202,4,1)))</f>
        <v>0</v>
      </c>
      <c r="G172" s="105"/>
      <c r="H172" s="104">
        <f>IF(G172&lt;baza!$I$202,0,IF(G172&gt;baza!$I$3,(200+(G172-206)*2),VLOOKUP(G172,baza!$I:$J,2,0)))</f>
        <v>0</v>
      </c>
      <c r="I172" s="105"/>
      <c r="J172" s="104">
        <f>IF(I172&lt;210,0,IF(I172&gt;712,(200+I172-712),VLOOKUP(I172,baza!$B$3:$F$202,5,1)))</f>
        <v>0</v>
      </c>
      <c r="K172" s="106"/>
      <c r="L172" s="104">
        <f>IF(K172="",0,IF(K172&gt;(-1*baza!$D$3),0,IF(K172&lt;232.3,INT(200+(232.3-K172)*3),VLOOKUP(-K172,baza!$D$1:$F$203,3,1))))</f>
        <v>0</v>
      </c>
      <c r="M172" s="107">
        <f t="shared" si="46"/>
        <v>0</v>
      </c>
      <c r="N172" s="108">
        <f t="shared" si="47"/>
        <v>0</v>
      </c>
      <c r="O172" s="14"/>
      <c r="P172" s="9"/>
    </row>
    <row r="173" spans="1:16" ht="18" thickTop="1" thickBot="1">
      <c r="A173" s="10"/>
      <c r="B173" s="114">
        <f>szkoły!D47</f>
        <v>0</v>
      </c>
      <c r="C173" s="103"/>
      <c r="D173" s="104">
        <f>IF(C173&gt;="",0,IF(C173&gt;=11.61,0,IF(C173&lt;6.91,(200+(6.91-C173)*100),VLOOKUP(-C173,baza!$E:$F,2,1))))</f>
        <v>0</v>
      </c>
      <c r="E173" s="103"/>
      <c r="F173" s="104">
        <f>IF(E173&lt;18,0,IF(E173&gt;104,(200+(E173-104)*4),VLOOKUP(E173,baza!$C$3:$F$202,4,1)))</f>
        <v>0</v>
      </c>
      <c r="G173" s="105"/>
      <c r="H173" s="104">
        <f>IF(G173&lt;baza!$I$202,0,IF(G173&gt;baza!$I$3,(200+(G173-206)*2),VLOOKUP(G173,baza!$I:$J,2,0)))</f>
        <v>0</v>
      </c>
      <c r="I173" s="105"/>
      <c r="J173" s="104">
        <f>IF(I173&lt;210,0,IF(I173&gt;712,(200+I173-712),VLOOKUP(I173,baza!$B$3:$F$202,5,1)))</f>
        <v>0</v>
      </c>
      <c r="K173" s="106"/>
      <c r="L173" s="104">
        <f>IF(K173="",0,IF(K173&gt;(-1*baza!$D$3),0,IF(K173&lt;232.3,INT(200+(232.3-K173)*3),VLOOKUP(-K173,baza!$D$1:$F$203,3,1))))</f>
        <v>0</v>
      </c>
      <c r="M173" s="107">
        <f t="shared" si="46"/>
        <v>0</v>
      </c>
      <c r="N173" s="108">
        <f t="shared" si="47"/>
        <v>0</v>
      </c>
      <c r="O173" s="15">
        <f>SUM(M169:M174)</f>
        <v>0</v>
      </c>
      <c r="P173" s="8" t="s">
        <v>9</v>
      </c>
    </row>
    <row r="174" spans="1:16" ht="18" thickTop="1" thickBot="1">
      <c r="A174" s="10"/>
      <c r="B174" s="114">
        <f>szkoły!D48</f>
        <v>0</v>
      </c>
      <c r="C174" s="103"/>
      <c r="D174" s="104">
        <f>IF(C174&gt;="",0,IF(C174&gt;=11.61,0,IF(C174&lt;6.91,(200+(6.91-C174)*100),VLOOKUP(-C174,baza!$E:$F,2,1))))</f>
        <v>0</v>
      </c>
      <c r="E174" s="103"/>
      <c r="F174" s="104">
        <f>IF(E174&lt;18,0,IF(E174&gt;104,(200+(E174-104)*4),VLOOKUP(E174,baza!$C$3:$F$202,4,1)))</f>
        <v>0</v>
      </c>
      <c r="G174" s="105"/>
      <c r="H174" s="104">
        <f>IF(G174&lt;baza!$I$202,0,IF(G174&gt;baza!$I$3,(200+(G174-206)*2),VLOOKUP(G174,baza!$I:$J,2,0)))</f>
        <v>0</v>
      </c>
      <c r="I174" s="105"/>
      <c r="J174" s="104">
        <f>IF(I174&lt;210,0,IF(I174&gt;712,(200+I174-712),VLOOKUP(I174,baza!$B$3:$F$202,5,1)))</f>
        <v>0</v>
      </c>
      <c r="K174" s="106"/>
      <c r="L174" s="104">
        <f>IF(K174="",0,IF(K174&gt;(-1*baza!$D$3),0,IF(K174&lt;232.3,INT(200+(232.3-K174)*3),VLOOKUP(-K174,baza!$D$1:$F$203,3,1))))</f>
        <v>0</v>
      </c>
      <c r="M174" s="107">
        <f t="shared" si="46"/>
        <v>0</v>
      </c>
      <c r="N174" s="108">
        <f t="shared" si="47"/>
        <v>0</v>
      </c>
      <c r="O174" s="15">
        <f>IF(COUNT(N169:N174)&lt;6,SUM(N169:N174),SUM(N169:N174)-MIN(N169:N174))</f>
        <v>0</v>
      </c>
      <c r="P174" s="8" t="s">
        <v>11</v>
      </c>
    </row>
    <row r="175" spans="1:16" ht="16.5" thickTop="1" thickBot="1">
      <c r="A175" s="13">
        <f>szkoły!A50</f>
        <v>0</v>
      </c>
      <c r="B175" s="113" t="s">
        <v>6</v>
      </c>
      <c r="C175" s="25" t="s">
        <v>3</v>
      </c>
      <c r="D175" s="27" t="s">
        <v>7</v>
      </c>
      <c r="E175" s="28" t="s">
        <v>8</v>
      </c>
      <c r="F175" s="27" t="s">
        <v>7</v>
      </c>
      <c r="G175" s="27" t="s">
        <v>5</v>
      </c>
      <c r="H175" s="27" t="s">
        <v>7</v>
      </c>
      <c r="I175" s="27" t="s">
        <v>0</v>
      </c>
      <c r="J175" s="27" t="s">
        <v>7</v>
      </c>
      <c r="K175" s="29" t="s">
        <v>2</v>
      </c>
      <c r="L175" s="27" t="s">
        <v>7</v>
      </c>
      <c r="M175" s="26" t="s">
        <v>9</v>
      </c>
      <c r="N175" s="26" t="s">
        <v>10</v>
      </c>
      <c r="O175" s="14"/>
      <c r="P175" s="9"/>
    </row>
    <row r="176" spans="1:16" ht="18" thickTop="1" thickBot="1">
      <c r="A176" s="7"/>
      <c r="B176" s="114">
        <f>szkoły!A51</f>
        <v>0</v>
      </c>
      <c r="C176" s="103"/>
      <c r="D176" s="104">
        <f>IF(C176&gt;="",0,IF(C176&gt;=11.61,0,IF(C176&lt;6.91,(200+(6.91-C176)*100),VLOOKUP(-C176,baza!$E:$F,2,1))))</f>
        <v>0</v>
      </c>
      <c r="E176" s="103"/>
      <c r="F176" s="104">
        <f>IF(E176&lt;18,0,IF(E176&gt;104,(200+(E176-104)*4),VLOOKUP(E176,baza!$C$3:$F$202,4,1)))</f>
        <v>0</v>
      </c>
      <c r="G176" s="105"/>
      <c r="H176" s="104">
        <f>IF(G176&lt;baza!$I$202,0,IF(G176&gt;baza!$I$3,(200+(G176-206)*2),VLOOKUP(G176,baza!$I:$J,2,0)))</f>
        <v>0</v>
      </c>
      <c r="I176" s="105"/>
      <c r="J176" s="104">
        <f>IF(I176&lt;210,0,IF(I176&gt;712,(200+I176-712),VLOOKUP(I176,baza!$B$3:$F$202,5,1)))</f>
        <v>0</v>
      </c>
      <c r="K176" s="106"/>
      <c r="L176" s="104">
        <f>IF(K176="",0,IF(K176&gt;(-1*baza!$D$3),0,IF(K176&lt;232.3,INT(200+(232.3-K176)*3),VLOOKUP(-K176,baza!$D$1:$F$203,3,1))))</f>
        <v>0</v>
      </c>
      <c r="M176" s="107">
        <f t="shared" ref="M176:M181" si="48">(D176+F176+H176+J176)</f>
        <v>0</v>
      </c>
      <c r="N176" s="108">
        <f t="shared" ref="N176:N181" si="49">M176+L176</f>
        <v>0</v>
      </c>
      <c r="O176" s="14"/>
      <c r="P176" s="9"/>
    </row>
    <row r="177" spans="1:16" ht="18" thickTop="1" thickBot="1">
      <c r="A177" s="30" t="str">
        <f>O180 &amp;"  " &amp;"I dzień"</f>
        <v>0  I dzień</v>
      </c>
      <c r="B177" s="114">
        <f>szkoły!A52</f>
        <v>0</v>
      </c>
      <c r="C177" s="103"/>
      <c r="D177" s="104">
        <f>IF(C177&gt;="",0,IF(C177&gt;=11.61,0,IF(C177&lt;6.91,(200+(6.91-C177)*100),VLOOKUP(-C177,baza!$E:$F,2,1))))</f>
        <v>0</v>
      </c>
      <c r="E177" s="103"/>
      <c r="F177" s="104">
        <f>IF(E177&lt;18,0,IF(E177&gt;104,(200+(E177-104)*4),VLOOKUP(E177,baza!$C$3:$F$202,4,1)))</f>
        <v>0</v>
      </c>
      <c r="G177" s="105"/>
      <c r="H177" s="104">
        <f>IF(G177&lt;baza!$I$202,0,IF(G177&gt;baza!$I$3,(200+(G177-206)*2),VLOOKUP(G177,baza!$I:$J,2,0)))</f>
        <v>0</v>
      </c>
      <c r="I177" s="105"/>
      <c r="J177" s="104">
        <f>IF(I177&lt;210,0,IF(I177&gt;712,(200+I177-712),VLOOKUP(I177,baza!$B$3:$F$202,5,1)))</f>
        <v>0</v>
      </c>
      <c r="K177" s="106"/>
      <c r="L177" s="104">
        <f>IF(K177="",0,IF(K177&gt;(-1*baza!$D$3),0,IF(K177&lt;232.3,INT(200+(232.3-K177)*3),VLOOKUP(-K177,baza!$D$1:$F$203,3,1))))</f>
        <v>0</v>
      </c>
      <c r="M177" s="107">
        <f t="shared" si="48"/>
        <v>0</v>
      </c>
      <c r="N177" s="108">
        <f t="shared" si="49"/>
        <v>0</v>
      </c>
      <c r="O177" s="14"/>
      <c r="P177" s="9"/>
    </row>
    <row r="178" spans="1:16" ht="18" thickTop="1" thickBot="1">
      <c r="A178" s="30" t="str">
        <f>O181 &amp;"  " &amp;"II dzień"</f>
        <v>0  II dzień</v>
      </c>
      <c r="B178" s="114">
        <f>szkoły!A53</f>
        <v>0</v>
      </c>
      <c r="C178" s="103"/>
      <c r="D178" s="104">
        <f>IF(C178&gt;="",0,IF(C178&gt;=11.61,0,IF(C178&lt;6.91,(200+(6.91-C178)*100),VLOOKUP(-C178,baza!$E:$F,2,1))))</f>
        <v>0</v>
      </c>
      <c r="E178" s="103"/>
      <c r="F178" s="104">
        <f>IF(E178&lt;18,0,IF(E178&gt;104,(200+(E178-104)*4),VLOOKUP(E178,baza!$C$3:$F$202,4,1)))</f>
        <v>0</v>
      </c>
      <c r="G178" s="105"/>
      <c r="H178" s="104">
        <f>IF(G178&lt;baza!$I$202,0,IF(G178&gt;baza!$I$3,(200+(G178-206)*2),VLOOKUP(G178,baza!$I:$J,2,0)))</f>
        <v>0</v>
      </c>
      <c r="I178" s="105"/>
      <c r="J178" s="104">
        <f>IF(I178&lt;210,0,IF(I178&gt;712,(200+I178-712),VLOOKUP(I178,baza!$B$3:$F$202,5,1)))</f>
        <v>0</v>
      </c>
      <c r="K178" s="106"/>
      <c r="L178" s="104">
        <f>IF(K178="",0,IF(K178&gt;(-1*baza!$D$3),0,IF(K178&lt;232.3,INT(200+(232.3-K178)*3),VLOOKUP(-K178,baza!$D$1:$F$203,3,1))))</f>
        <v>0</v>
      </c>
      <c r="M178" s="107">
        <f t="shared" si="48"/>
        <v>0</v>
      </c>
      <c r="N178" s="108">
        <f t="shared" si="49"/>
        <v>0</v>
      </c>
      <c r="O178" s="14"/>
      <c r="P178" s="9"/>
    </row>
    <row r="179" spans="1:16" ht="18" thickTop="1" thickBot="1">
      <c r="A179" s="7"/>
      <c r="B179" s="114">
        <f>szkoły!A54</f>
        <v>0</v>
      </c>
      <c r="C179" s="103"/>
      <c r="D179" s="104">
        <f>IF(C179&gt;="",0,IF(C179&gt;=11.61,0,IF(C179&lt;6.91,(200+(6.91-C179)*100),VLOOKUP(-C179,baza!$E:$F,2,1))))</f>
        <v>0</v>
      </c>
      <c r="E179" s="103"/>
      <c r="F179" s="104">
        <f>IF(E179&lt;18,0,IF(E179&gt;104,(200+(E179-104)*4),VLOOKUP(E179,baza!$C$3:$F$202,4,1)))</f>
        <v>0</v>
      </c>
      <c r="G179" s="105"/>
      <c r="H179" s="104">
        <f>IF(G179&lt;baza!$I$202,0,IF(G179&gt;baza!$I$3,(200+(G179-206)*2),VLOOKUP(G179,baza!$I:$J,2,0)))</f>
        <v>0</v>
      </c>
      <c r="I179" s="105"/>
      <c r="J179" s="104">
        <f>IF(I179&lt;210,0,IF(I179&gt;712,(200+I179-712),VLOOKUP(I179,baza!$B$3:$F$202,5,1)))</f>
        <v>0</v>
      </c>
      <c r="K179" s="106"/>
      <c r="L179" s="104">
        <f>IF(K179="",0,IF(K179&gt;(-1*baza!$D$3),0,IF(K179&lt;232.3,INT(200+(232.3-K179)*3),VLOOKUP(-K179,baza!$D$1:$F$203,3,1))))</f>
        <v>0</v>
      </c>
      <c r="M179" s="107">
        <f t="shared" si="48"/>
        <v>0</v>
      </c>
      <c r="N179" s="108">
        <f t="shared" si="49"/>
        <v>0</v>
      </c>
      <c r="O179" s="14"/>
      <c r="P179" s="9"/>
    </row>
    <row r="180" spans="1:16" ht="18" thickTop="1" thickBot="1">
      <c r="A180" s="7"/>
      <c r="B180" s="114">
        <f>szkoły!A55</f>
        <v>0</v>
      </c>
      <c r="C180" s="103"/>
      <c r="D180" s="104">
        <f>IF(C180&gt;="",0,IF(C180&gt;=11.61,0,IF(C180&lt;6.91,(200+(6.91-C180)*100),VLOOKUP(-C180,baza!$E:$F,2,1))))</f>
        <v>0</v>
      </c>
      <c r="E180" s="103"/>
      <c r="F180" s="104">
        <f>IF(E180&lt;18,0,IF(E180&gt;104,(200+(E180-104)*4),VLOOKUP(E180,baza!$C$3:$F$202,4,1)))</f>
        <v>0</v>
      </c>
      <c r="G180" s="105"/>
      <c r="H180" s="104">
        <f>IF(G180&lt;baza!$I$202,0,IF(G180&gt;baza!$I$3,(200+(G180-206)*2),VLOOKUP(G180,baza!$I:$J,2,0)))</f>
        <v>0</v>
      </c>
      <c r="I180" s="105"/>
      <c r="J180" s="104">
        <f>IF(I180&lt;210,0,IF(I180&gt;712,(200+I180-712),VLOOKUP(I180,baza!$B$3:$F$202,5,1)))</f>
        <v>0</v>
      </c>
      <c r="K180" s="106"/>
      <c r="L180" s="104">
        <f>IF(K180="",0,IF(K180&gt;(-1*baza!$D$3),0,IF(K180&lt;232.3,INT(200+(232.3-K180)*3),VLOOKUP(-K180,baza!$D$1:$F$203,3,1))))</f>
        <v>0</v>
      </c>
      <c r="M180" s="107">
        <f t="shared" si="48"/>
        <v>0</v>
      </c>
      <c r="N180" s="108">
        <f t="shared" si="49"/>
        <v>0</v>
      </c>
      <c r="O180" s="15">
        <f>SUM(M176:M181)</f>
        <v>0</v>
      </c>
      <c r="P180" s="8" t="s">
        <v>9</v>
      </c>
    </row>
    <row r="181" spans="1:16" ht="18" thickTop="1" thickBot="1">
      <c r="A181" s="7"/>
      <c r="B181" s="114">
        <f>szkoły!A56</f>
        <v>0</v>
      </c>
      <c r="C181" s="103"/>
      <c r="D181" s="104">
        <f>IF(C181&gt;="",0,IF(C181&gt;=11.61,0,IF(C181&lt;6.91,(200+(6.91-C181)*100),VLOOKUP(-C181,baza!$E:$F,2,1))))</f>
        <v>0</v>
      </c>
      <c r="E181" s="103"/>
      <c r="F181" s="104">
        <f>IF(E181&lt;18,0,IF(E181&gt;104,(200+(E181-104)*4),VLOOKUP(E181,baza!$C$3:$F$202,4,1)))</f>
        <v>0</v>
      </c>
      <c r="G181" s="105"/>
      <c r="H181" s="104">
        <f>IF(G181&lt;baza!$I$202,0,IF(G181&gt;baza!$I$3,(200+(G181-206)*2),VLOOKUP(G181,baza!$I:$J,2,0)))</f>
        <v>0</v>
      </c>
      <c r="I181" s="105"/>
      <c r="J181" s="104">
        <f>IF(I181&lt;210,0,IF(I181&gt;712,(200+I181-712),VLOOKUP(I181,baza!$B$3:$F$202,5,1)))</f>
        <v>0</v>
      </c>
      <c r="K181" s="106"/>
      <c r="L181" s="104">
        <f>IF(K181="",0,IF(K181&gt;(-1*baza!$D$3),0,IF(K181&lt;232.3,INT(200+(232.3-K181)*3),VLOOKUP(-K181,baza!$D$1:$F$203,3,1))))</f>
        <v>0</v>
      </c>
      <c r="M181" s="107">
        <f t="shared" si="48"/>
        <v>0</v>
      </c>
      <c r="N181" s="108">
        <f t="shared" si="49"/>
        <v>0</v>
      </c>
      <c r="O181" s="15">
        <f>IF(COUNT(N176:N181)&lt;6,SUM(N176:N181),SUM(N176:N181)-MIN(N176:N181))</f>
        <v>0</v>
      </c>
      <c r="P181" s="8" t="s">
        <v>11</v>
      </c>
    </row>
    <row r="182" spans="1:16" ht="16.5" thickTop="1" thickBot="1">
      <c r="A182" s="13">
        <f>szkoły!B50</f>
        <v>0</v>
      </c>
      <c r="B182" s="113" t="s">
        <v>6</v>
      </c>
      <c r="C182" s="25" t="s">
        <v>3</v>
      </c>
      <c r="D182" s="27" t="s">
        <v>7</v>
      </c>
      <c r="E182" s="28" t="s">
        <v>8</v>
      </c>
      <c r="F182" s="27" t="s">
        <v>7</v>
      </c>
      <c r="G182" s="27" t="s">
        <v>5</v>
      </c>
      <c r="H182" s="27" t="s">
        <v>7</v>
      </c>
      <c r="I182" s="27" t="s">
        <v>0</v>
      </c>
      <c r="J182" s="27" t="s">
        <v>7</v>
      </c>
      <c r="K182" s="29" t="s">
        <v>2</v>
      </c>
      <c r="L182" s="27" t="s">
        <v>7</v>
      </c>
      <c r="M182" s="26" t="s">
        <v>9</v>
      </c>
      <c r="N182" s="26" t="s">
        <v>10</v>
      </c>
      <c r="O182" s="14"/>
      <c r="P182" s="9"/>
    </row>
    <row r="183" spans="1:16" ht="18" thickTop="1" thickBot="1">
      <c r="A183" s="10"/>
      <c r="B183" s="114">
        <f>szkoły!B51</f>
        <v>0</v>
      </c>
      <c r="C183" s="103"/>
      <c r="D183" s="104">
        <f>IF(C183&gt;="",0,IF(C183&gt;=11.61,0,IF(C183&lt;6.91,(200+(6.91-C183)*100),VLOOKUP(-C183,baza!$E:$F,2,1))))</f>
        <v>0</v>
      </c>
      <c r="E183" s="103"/>
      <c r="F183" s="104">
        <f>IF(E183&lt;18,0,IF(E183&gt;104,(200+(E183-104)*4),VLOOKUP(E183,baza!$C$3:$F$202,4,1)))</f>
        <v>0</v>
      </c>
      <c r="G183" s="105"/>
      <c r="H183" s="104">
        <f>IF(G183&lt;baza!$I$202,0,IF(G183&gt;baza!$I$3,(200+(G183-206)*2),VLOOKUP(G183,baza!$I:$J,2,0)))</f>
        <v>0</v>
      </c>
      <c r="I183" s="105"/>
      <c r="J183" s="104">
        <f>IF(I183&lt;210,0,IF(I183&gt;712,(200+I183-712),VLOOKUP(I183,baza!$B$3:$F$202,5,1)))</f>
        <v>0</v>
      </c>
      <c r="K183" s="106"/>
      <c r="L183" s="104">
        <f>IF(K183="",0,IF(K183&gt;(-1*baza!$D$3),0,IF(K183&lt;232.3,INT(200+(232.3-K183)*3),VLOOKUP(-K183,baza!$D$1:$F$203,3,1))))</f>
        <v>0</v>
      </c>
      <c r="M183" s="107">
        <f t="shared" ref="M183:M188" si="50">(D183+F183+H183+J183)</f>
        <v>0</v>
      </c>
      <c r="N183" s="108">
        <f t="shared" ref="N183:N188" si="51">M183+L183</f>
        <v>0</v>
      </c>
      <c r="O183" s="14"/>
      <c r="P183" s="9"/>
    </row>
    <row r="184" spans="1:16" ht="18" thickTop="1" thickBot="1">
      <c r="A184" s="30" t="str">
        <f>O187 &amp;"  " &amp;"I dzień"</f>
        <v>0  I dzień</v>
      </c>
      <c r="B184" s="114">
        <f>szkoły!B52</f>
        <v>0</v>
      </c>
      <c r="C184" s="103"/>
      <c r="D184" s="104">
        <f>IF(C184&gt;="",0,IF(C184&gt;=11.61,0,IF(C184&lt;6.91,(200+(6.91-C184)*100),VLOOKUP(-C184,baza!$E:$F,2,1))))</f>
        <v>0</v>
      </c>
      <c r="E184" s="103"/>
      <c r="F184" s="104">
        <f>IF(E184&lt;18,0,IF(E184&gt;104,(200+(E184-104)*4),VLOOKUP(E184,baza!$C$3:$F$202,4,1)))</f>
        <v>0</v>
      </c>
      <c r="G184" s="105"/>
      <c r="H184" s="104">
        <f>IF(G184&lt;baza!$I$202,0,IF(G184&gt;baza!$I$3,(200+(G184-206)*2),VLOOKUP(G184,baza!$I:$J,2,0)))</f>
        <v>0</v>
      </c>
      <c r="I184" s="105"/>
      <c r="J184" s="104">
        <f>IF(I184&lt;210,0,IF(I184&gt;712,(200+I184-712),VLOOKUP(I184,baza!$B$3:$F$202,5,1)))</f>
        <v>0</v>
      </c>
      <c r="K184" s="106"/>
      <c r="L184" s="104">
        <f>IF(K184="",0,IF(K184&gt;(-1*baza!$D$3),0,IF(K184&lt;232.3,INT(200+(232.3-K184)*3),VLOOKUP(-K184,baza!$D$1:$F$203,3,1))))</f>
        <v>0</v>
      </c>
      <c r="M184" s="107">
        <f t="shared" si="50"/>
        <v>0</v>
      </c>
      <c r="N184" s="108">
        <f t="shared" si="51"/>
        <v>0</v>
      </c>
      <c r="O184" s="14"/>
      <c r="P184" s="9"/>
    </row>
    <row r="185" spans="1:16" ht="18" thickTop="1" thickBot="1">
      <c r="A185" s="30" t="str">
        <f>O188 &amp;"  " &amp;"II dzień"</f>
        <v>0  II dzień</v>
      </c>
      <c r="B185" s="114">
        <f>szkoły!B53</f>
        <v>0</v>
      </c>
      <c r="C185" s="103"/>
      <c r="D185" s="104">
        <f>IF(C185&gt;="",0,IF(C185&gt;=11.61,0,IF(C185&lt;6.91,(200+(6.91-C185)*100),VLOOKUP(-C185,baza!$E:$F,2,1))))</f>
        <v>0</v>
      </c>
      <c r="E185" s="103"/>
      <c r="F185" s="104">
        <f>IF(E185&lt;18,0,IF(E185&gt;104,(200+(E185-104)*4),VLOOKUP(E185,baza!$C$3:$F$202,4,1)))</f>
        <v>0</v>
      </c>
      <c r="G185" s="105"/>
      <c r="H185" s="104">
        <f>IF(G185&lt;baza!$I$202,0,IF(G185&gt;baza!$I$3,(200+(G185-206)*2),VLOOKUP(G185,baza!$I:$J,2,0)))</f>
        <v>0</v>
      </c>
      <c r="I185" s="105"/>
      <c r="J185" s="104">
        <f>IF(I185&lt;210,0,IF(I185&gt;712,(200+I185-712),VLOOKUP(I185,baza!$B$3:$F$202,5,1)))</f>
        <v>0</v>
      </c>
      <c r="K185" s="106"/>
      <c r="L185" s="104">
        <f>IF(K185="",0,IF(K185&gt;(-1*baza!$D$3),0,IF(K185&lt;232.3,INT(200+(232.3-K185)*3),VLOOKUP(-K185,baza!$D$1:$F$203,3,1))))</f>
        <v>0</v>
      </c>
      <c r="M185" s="107">
        <f t="shared" si="50"/>
        <v>0</v>
      </c>
      <c r="N185" s="108">
        <f t="shared" si="51"/>
        <v>0</v>
      </c>
      <c r="O185" s="14"/>
      <c r="P185" s="9"/>
    </row>
    <row r="186" spans="1:16" ht="18" thickTop="1" thickBot="1">
      <c r="A186" s="10"/>
      <c r="B186" s="114">
        <f>szkoły!B54</f>
        <v>0</v>
      </c>
      <c r="C186" s="103"/>
      <c r="D186" s="104">
        <f>IF(C186&gt;="",0,IF(C186&gt;=11.61,0,IF(C186&lt;6.91,(200+(6.91-C186)*100),VLOOKUP(-C186,baza!$E:$F,2,1))))</f>
        <v>0</v>
      </c>
      <c r="E186" s="103"/>
      <c r="F186" s="104">
        <f>IF(E186&lt;18,0,IF(E186&gt;104,(200+(E186-104)*4),VLOOKUP(E186,baza!$C$3:$F$202,4,1)))</f>
        <v>0</v>
      </c>
      <c r="G186" s="105"/>
      <c r="H186" s="104">
        <f>IF(G186&lt;baza!$I$202,0,IF(G186&gt;baza!$I$3,(200+(G186-206)*2),VLOOKUP(G186,baza!$I:$J,2,0)))</f>
        <v>0</v>
      </c>
      <c r="I186" s="105"/>
      <c r="J186" s="104">
        <f>IF(I186&lt;210,0,IF(I186&gt;712,(200+I186-712),VLOOKUP(I186,baza!$B$3:$F$202,5,1)))</f>
        <v>0</v>
      </c>
      <c r="K186" s="106"/>
      <c r="L186" s="104">
        <f>IF(K186="",0,IF(K186&gt;(-1*baza!$D$3),0,IF(K186&lt;232.3,INT(200+(232.3-K186)*3),VLOOKUP(-K186,baza!$D$1:$F$203,3,1))))</f>
        <v>0</v>
      </c>
      <c r="M186" s="107">
        <f t="shared" si="50"/>
        <v>0</v>
      </c>
      <c r="N186" s="108">
        <f t="shared" si="51"/>
        <v>0</v>
      </c>
      <c r="O186" s="14"/>
      <c r="P186" s="9"/>
    </row>
    <row r="187" spans="1:16" ht="18" thickTop="1" thickBot="1">
      <c r="A187" s="10"/>
      <c r="B187" s="114">
        <f>szkoły!B55</f>
        <v>0</v>
      </c>
      <c r="C187" s="103"/>
      <c r="D187" s="104">
        <f>IF(C187&gt;="",0,IF(C187&gt;=11.61,0,IF(C187&lt;6.91,(200+(6.91-C187)*100),VLOOKUP(-C187,baza!$E:$F,2,1))))</f>
        <v>0</v>
      </c>
      <c r="E187" s="103"/>
      <c r="F187" s="104">
        <f>IF(E187&lt;18,0,IF(E187&gt;104,(200+(E187-104)*4),VLOOKUP(E187,baza!$C$3:$F$202,4,1)))</f>
        <v>0</v>
      </c>
      <c r="G187" s="105"/>
      <c r="H187" s="104">
        <f>IF(G187&lt;baza!$I$202,0,IF(G187&gt;baza!$I$3,(200+(G187-206)*2),VLOOKUP(G187,baza!$I:$J,2,0)))</f>
        <v>0</v>
      </c>
      <c r="I187" s="105"/>
      <c r="J187" s="104">
        <f>IF(I187&lt;210,0,IF(I187&gt;712,(200+I187-712),VLOOKUP(I187,baza!$B$3:$F$202,5,1)))</f>
        <v>0</v>
      </c>
      <c r="K187" s="106"/>
      <c r="L187" s="104">
        <f>IF(K187="",0,IF(K187&gt;(-1*baza!$D$3),0,IF(K187&lt;232.3,INT(200+(232.3-K187)*3),VLOOKUP(-K187,baza!$D$1:$F$203,3,1))))</f>
        <v>0</v>
      </c>
      <c r="M187" s="107">
        <f t="shared" si="50"/>
        <v>0</v>
      </c>
      <c r="N187" s="108">
        <f t="shared" si="51"/>
        <v>0</v>
      </c>
      <c r="O187" s="15">
        <f>SUM(M183:M188)</f>
        <v>0</v>
      </c>
      <c r="P187" s="8" t="s">
        <v>9</v>
      </c>
    </row>
    <row r="188" spans="1:16" ht="18" thickTop="1" thickBot="1">
      <c r="A188" s="10"/>
      <c r="B188" s="114">
        <f>szkoły!B56</f>
        <v>0</v>
      </c>
      <c r="C188" s="103"/>
      <c r="D188" s="104">
        <f>IF(C188&gt;="",0,IF(C188&gt;=11.61,0,IF(C188&lt;6.91,(200+(6.91-C188)*100),VLOOKUP(-C188,baza!$E:$F,2,1))))</f>
        <v>0</v>
      </c>
      <c r="E188" s="103"/>
      <c r="F188" s="104">
        <f>IF(E188&lt;18,0,IF(E188&gt;104,(200+(E188-104)*4),VLOOKUP(E188,baza!$C$3:$F$202,4,1)))</f>
        <v>0</v>
      </c>
      <c r="G188" s="105"/>
      <c r="H188" s="104">
        <f>IF(G188&lt;baza!$I$202,0,IF(G188&gt;baza!$I$3,(200+(G188-206)*2),VLOOKUP(G188,baza!$I:$J,2,0)))</f>
        <v>0</v>
      </c>
      <c r="I188" s="105"/>
      <c r="J188" s="104">
        <f>IF(I188&lt;210,0,IF(I188&gt;712,(200+I188-712),VLOOKUP(I188,baza!$B$3:$F$202,5,1)))</f>
        <v>0</v>
      </c>
      <c r="K188" s="106"/>
      <c r="L188" s="104">
        <f>IF(K188="",0,IF(K188&gt;(-1*baza!$D$3),0,IF(K188&lt;232.3,INT(200+(232.3-K188)*3),VLOOKUP(-K188,baza!$D$1:$F$203,3,1))))</f>
        <v>0</v>
      </c>
      <c r="M188" s="107">
        <f t="shared" si="50"/>
        <v>0</v>
      </c>
      <c r="N188" s="108">
        <f t="shared" si="51"/>
        <v>0</v>
      </c>
      <c r="O188" s="15">
        <f>IF(COUNT(N183:N188)&lt;6,SUM(N183:N188),SUM(N183:N188)-MIN(N183:N188))</f>
        <v>0</v>
      </c>
      <c r="P188" s="8" t="s">
        <v>11</v>
      </c>
    </row>
    <row r="189" spans="1:16" ht="16.5" thickTop="1" thickBot="1">
      <c r="A189" s="13">
        <f>szkoły!C50</f>
        <v>0</v>
      </c>
      <c r="B189" s="113" t="s">
        <v>6</v>
      </c>
      <c r="C189" s="25" t="s">
        <v>3</v>
      </c>
      <c r="D189" s="27" t="s">
        <v>7</v>
      </c>
      <c r="E189" s="28" t="s">
        <v>8</v>
      </c>
      <c r="F189" s="27" t="s">
        <v>7</v>
      </c>
      <c r="G189" s="27" t="s">
        <v>5</v>
      </c>
      <c r="H189" s="27" t="s">
        <v>7</v>
      </c>
      <c r="I189" s="27" t="s">
        <v>0</v>
      </c>
      <c r="J189" s="27" t="s">
        <v>7</v>
      </c>
      <c r="K189" s="29" t="s">
        <v>2</v>
      </c>
      <c r="L189" s="27" t="s">
        <v>7</v>
      </c>
      <c r="M189" s="26" t="s">
        <v>9</v>
      </c>
      <c r="N189" s="26" t="s">
        <v>10</v>
      </c>
      <c r="O189" s="14"/>
      <c r="P189" s="9"/>
    </row>
    <row r="190" spans="1:16" ht="18" thickTop="1" thickBot="1">
      <c r="A190" s="7"/>
      <c r="B190" s="114">
        <f>szkoły!C51</f>
        <v>0</v>
      </c>
      <c r="C190" s="103"/>
      <c r="D190" s="104">
        <f>IF(C190&gt;="",0,IF(C190&gt;=11.61,0,IF(C190&lt;6.91,(200+(6.91-C190)*100),VLOOKUP(-C190,baza!$E:$F,2,1))))</f>
        <v>0</v>
      </c>
      <c r="E190" s="103"/>
      <c r="F190" s="104">
        <f>IF(E190&lt;18,0,IF(E190&gt;104,(200+(E190-104)*4),VLOOKUP(E190,baza!$C$3:$F$202,4,1)))</f>
        <v>0</v>
      </c>
      <c r="G190" s="105"/>
      <c r="H190" s="104">
        <f>IF(G190&lt;baza!$I$202,0,IF(G190&gt;baza!$I$3,(200+(G190-206)*2),VLOOKUP(G190,baza!$I:$J,2,0)))</f>
        <v>0</v>
      </c>
      <c r="I190" s="105"/>
      <c r="J190" s="104">
        <f>IF(I190&lt;210,0,IF(I190&gt;712,(200+I190-712),VLOOKUP(I190,baza!$B$3:$F$202,5,1)))</f>
        <v>0</v>
      </c>
      <c r="K190" s="106"/>
      <c r="L190" s="104">
        <f>IF(K190="",0,IF(K190&gt;(-1*baza!$D$3),0,IF(K190&lt;232.3,INT(200+(232.3-K190)*3),VLOOKUP(-K190,baza!$D$1:$F$203,3,1))))</f>
        <v>0</v>
      </c>
      <c r="M190" s="107">
        <f t="shared" ref="M190:M195" si="52">(D190+F190+H190+J190)</f>
        <v>0</v>
      </c>
      <c r="N190" s="108">
        <f t="shared" ref="N190:N195" si="53">M190+L190</f>
        <v>0</v>
      </c>
      <c r="O190" s="14"/>
      <c r="P190" s="9"/>
    </row>
    <row r="191" spans="1:16" ht="18" thickTop="1" thickBot="1">
      <c r="A191" s="30" t="str">
        <f>O194 &amp;"  " &amp;"I dzień"</f>
        <v>0  I dzień</v>
      </c>
      <c r="B191" s="114">
        <f>szkoły!C52</f>
        <v>0</v>
      </c>
      <c r="C191" s="103"/>
      <c r="D191" s="104">
        <f>IF(C191&gt;="",0,IF(C191&gt;=11.61,0,IF(C191&lt;6.91,(200+(6.91-C191)*100),VLOOKUP(-C191,baza!$E:$F,2,1))))</f>
        <v>0</v>
      </c>
      <c r="E191" s="103"/>
      <c r="F191" s="104">
        <f>IF(E191&lt;18,0,IF(E191&gt;104,(200+(E191-104)*4),VLOOKUP(E191,baza!$C$3:$F$202,4,1)))</f>
        <v>0</v>
      </c>
      <c r="G191" s="105"/>
      <c r="H191" s="104">
        <f>IF(G191&lt;baza!$I$202,0,IF(G191&gt;baza!$I$3,(200+(G191-206)*2),VLOOKUP(G191,baza!$I:$J,2,0)))</f>
        <v>0</v>
      </c>
      <c r="I191" s="105"/>
      <c r="J191" s="104">
        <f>IF(I191&lt;210,0,IF(I191&gt;712,(200+I191-712),VLOOKUP(I191,baza!$B$3:$F$202,5,1)))</f>
        <v>0</v>
      </c>
      <c r="K191" s="106"/>
      <c r="L191" s="104">
        <f>IF(K191="",0,IF(K191&gt;(-1*baza!$D$3),0,IF(K191&lt;232.3,INT(200+(232.3-K191)*3),VLOOKUP(-K191,baza!$D$1:$F$203,3,1))))</f>
        <v>0</v>
      </c>
      <c r="M191" s="107">
        <f t="shared" si="52"/>
        <v>0</v>
      </c>
      <c r="N191" s="108">
        <f t="shared" si="53"/>
        <v>0</v>
      </c>
      <c r="O191" s="14"/>
      <c r="P191" s="9"/>
    </row>
    <row r="192" spans="1:16" ht="18" thickTop="1" thickBot="1">
      <c r="A192" s="30" t="str">
        <f>O195 &amp;"  " &amp;"II dzień"</f>
        <v>0  II dzień</v>
      </c>
      <c r="B192" s="114">
        <f>szkoły!C53</f>
        <v>0</v>
      </c>
      <c r="C192" s="103"/>
      <c r="D192" s="104">
        <f>IF(C192&gt;="",0,IF(C192&gt;=11.61,0,IF(C192&lt;6.91,(200+(6.91-C192)*100),VLOOKUP(-C192,baza!$E:$F,2,1))))</f>
        <v>0</v>
      </c>
      <c r="E192" s="103"/>
      <c r="F192" s="104">
        <f>IF(E192&lt;18,0,IF(E192&gt;104,(200+(E192-104)*4),VLOOKUP(E192,baza!$C$3:$F$202,4,1)))</f>
        <v>0</v>
      </c>
      <c r="G192" s="105"/>
      <c r="H192" s="104">
        <f>IF(G192&lt;baza!$I$202,0,IF(G192&gt;baza!$I$3,(200+(G192-206)*2),VLOOKUP(G192,baza!$I:$J,2,0)))</f>
        <v>0</v>
      </c>
      <c r="I192" s="105"/>
      <c r="J192" s="104">
        <f>IF(I192&lt;210,0,IF(I192&gt;712,(200+I192-712),VLOOKUP(I192,baza!$B$3:$F$202,5,1)))</f>
        <v>0</v>
      </c>
      <c r="K192" s="106"/>
      <c r="L192" s="104">
        <f>IF(K192="",0,IF(K192&gt;(-1*baza!$D$3),0,IF(K192&lt;232.3,INT(200+(232.3-K192)*3),VLOOKUP(-K192,baza!$D$1:$F$203,3,1))))</f>
        <v>0</v>
      </c>
      <c r="M192" s="107">
        <f t="shared" si="52"/>
        <v>0</v>
      </c>
      <c r="N192" s="108">
        <f t="shared" si="53"/>
        <v>0</v>
      </c>
      <c r="O192" s="14"/>
      <c r="P192" s="9"/>
    </row>
    <row r="193" spans="1:16" ht="18" thickTop="1" thickBot="1">
      <c r="A193" s="7"/>
      <c r="B193" s="114">
        <f>szkoły!C54</f>
        <v>0</v>
      </c>
      <c r="C193" s="103"/>
      <c r="D193" s="104">
        <f>IF(C193&gt;="",0,IF(C193&gt;=11.61,0,IF(C193&lt;6.91,(200+(6.91-C193)*100),VLOOKUP(-C193,baza!$E:$F,2,1))))</f>
        <v>0</v>
      </c>
      <c r="E193" s="103"/>
      <c r="F193" s="104">
        <f>IF(E193&lt;18,0,IF(E193&gt;104,(200+(E193-104)*4),VLOOKUP(E193,baza!$C$3:$F$202,4,1)))</f>
        <v>0</v>
      </c>
      <c r="G193" s="105"/>
      <c r="H193" s="104">
        <f>IF(G193&lt;baza!$I$202,0,IF(G193&gt;baza!$I$3,(200+(G193-206)*2),VLOOKUP(G193,baza!$I:$J,2,0)))</f>
        <v>0</v>
      </c>
      <c r="I193" s="105"/>
      <c r="J193" s="104">
        <f>IF(I193&lt;210,0,IF(I193&gt;712,(200+I193-712),VLOOKUP(I193,baza!$B$3:$F$202,5,1)))</f>
        <v>0</v>
      </c>
      <c r="K193" s="106"/>
      <c r="L193" s="104">
        <f>IF(K193="",0,IF(K193&gt;(-1*baza!$D$3),0,IF(K193&lt;232.3,INT(200+(232.3-K193)*3),VLOOKUP(-K193,baza!$D$1:$F$203,3,1))))</f>
        <v>0</v>
      </c>
      <c r="M193" s="107">
        <f t="shared" si="52"/>
        <v>0</v>
      </c>
      <c r="N193" s="108">
        <f t="shared" si="53"/>
        <v>0</v>
      </c>
      <c r="O193" s="14"/>
      <c r="P193" s="9"/>
    </row>
    <row r="194" spans="1:16" ht="18" thickTop="1" thickBot="1">
      <c r="A194" s="7"/>
      <c r="B194" s="114">
        <f>szkoły!C55</f>
        <v>0</v>
      </c>
      <c r="C194" s="103"/>
      <c r="D194" s="104">
        <f>IF(C194&gt;="",0,IF(C194&gt;=11.61,0,IF(C194&lt;6.91,(200+(6.91-C194)*100),VLOOKUP(-C194,baza!$E:$F,2,1))))</f>
        <v>0</v>
      </c>
      <c r="E194" s="103"/>
      <c r="F194" s="104">
        <f>IF(E194&lt;18,0,IF(E194&gt;104,(200+(E194-104)*4),VLOOKUP(E194,baza!$C$3:$F$202,4,1)))</f>
        <v>0</v>
      </c>
      <c r="G194" s="105"/>
      <c r="H194" s="104">
        <f>IF(G194&lt;baza!$I$202,0,IF(G194&gt;baza!$I$3,(200+(G194-206)*2),VLOOKUP(G194,baza!$I:$J,2,0)))</f>
        <v>0</v>
      </c>
      <c r="I194" s="105"/>
      <c r="J194" s="104">
        <f>IF(I194&lt;210,0,IF(I194&gt;712,(200+I194-712),VLOOKUP(I194,baza!$B$3:$F$202,5,1)))</f>
        <v>0</v>
      </c>
      <c r="K194" s="106"/>
      <c r="L194" s="104">
        <f>IF(K194="",0,IF(K194&gt;(-1*baza!$D$3),0,IF(K194&lt;232.3,INT(200+(232.3-K194)*3),VLOOKUP(-K194,baza!$D$1:$F$203,3,1))))</f>
        <v>0</v>
      </c>
      <c r="M194" s="107">
        <f t="shared" si="52"/>
        <v>0</v>
      </c>
      <c r="N194" s="108">
        <f t="shared" si="53"/>
        <v>0</v>
      </c>
      <c r="O194" s="15">
        <f>SUM(M190:M195)</f>
        <v>0</v>
      </c>
      <c r="P194" s="8" t="s">
        <v>9</v>
      </c>
    </row>
    <row r="195" spans="1:16" ht="18" thickTop="1" thickBot="1">
      <c r="A195" s="7"/>
      <c r="B195" s="114">
        <f>szkoły!C56</f>
        <v>0</v>
      </c>
      <c r="C195" s="103"/>
      <c r="D195" s="104">
        <f>IF(C195&gt;="",0,IF(C195&gt;=11.61,0,IF(C195&lt;6.91,(200+(6.91-C195)*100),VLOOKUP(-C195,baza!$E:$F,2,1))))</f>
        <v>0</v>
      </c>
      <c r="E195" s="103"/>
      <c r="F195" s="104">
        <f>IF(E195&lt;18,0,IF(E195&gt;104,(200+(E195-104)*4),VLOOKUP(E195,baza!$C$3:$F$202,4,1)))</f>
        <v>0</v>
      </c>
      <c r="G195" s="105"/>
      <c r="H195" s="104">
        <f>IF(G195&lt;baza!$I$202,0,IF(G195&gt;baza!$I$3,(200+(G195-206)*2),VLOOKUP(G195,baza!$I:$J,2,0)))</f>
        <v>0</v>
      </c>
      <c r="I195" s="105"/>
      <c r="J195" s="104">
        <f>IF(I195&lt;210,0,IF(I195&gt;712,(200+I195-712),VLOOKUP(I195,baza!$B$3:$F$202,5,1)))</f>
        <v>0</v>
      </c>
      <c r="K195" s="106"/>
      <c r="L195" s="104">
        <f>IF(K195="",0,IF(K195&gt;(-1*baza!$D$3),0,IF(K195&lt;232.3,INT(200+(232.3-K195)*3),VLOOKUP(-K195,baza!$D$1:$F$203,3,1))))</f>
        <v>0</v>
      </c>
      <c r="M195" s="107">
        <f t="shared" si="52"/>
        <v>0</v>
      </c>
      <c r="N195" s="108">
        <f t="shared" si="53"/>
        <v>0</v>
      </c>
      <c r="O195" s="15">
        <f>IF(COUNT(N190:N195)&lt;6,SUM(N190:N195),SUM(N190:N195)-MIN(N190:N195))</f>
        <v>0</v>
      </c>
      <c r="P195" s="8" t="s">
        <v>11</v>
      </c>
    </row>
    <row r="196" spans="1:16" ht="16.5" thickTop="1" thickBot="1">
      <c r="A196" s="13">
        <f>szkoły!D50</f>
        <v>0</v>
      </c>
      <c r="B196" s="113" t="s">
        <v>6</v>
      </c>
      <c r="C196" s="25" t="s">
        <v>3</v>
      </c>
      <c r="D196" s="27" t="s">
        <v>7</v>
      </c>
      <c r="E196" s="28" t="s">
        <v>8</v>
      </c>
      <c r="F196" s="27" t="s">
        <v>7</v>
      </c>
      <c r="G196" s="27" t="s">
        <v>5</v>
      </c>
      <c r="H196" s="27" t="s">
        <v>7</v>
      </c>
      <c r="I196" s="27" t="s">
        <v>0</v>
      </c>
      <c r="J196" s="27" t="s">
        <v>7</v>
      </c>
      <c r="K196" s="29" t="s">
        <v>2</v>
      </c>
      <c r="L196" s="27" t="s">
        <v>7</v>
      </c>
      <c r="M196" s="26" t="s">
        <v>9</v>
      </c>
      <c r="N196" s="26" t="s">
        <v>10</v>
      </c>
      <c r="O196" s="14"/>
      <c r="P196" s="9"/>
    </row>
    <row r="197" spans="1:16" ht="18" thickTop="1" thickBot="1">
      <c r="A197" s="10"/>
      <c r="B197" s="114">
        <f>szkoły!D51</f>
        <v>0</v>
      </c>
      <c r="C197" s="103"/>
      <c r="D197" s="104">
        <f>IF(C197&gt;="",0,IF(C197&gt;=11.61,0,IF(C197&lt;6.91,(200+(6.91-C197)*100),VLOOKUP(-C197,baza!$E:$F,2,1))))</f>
        <v>0</v>
      </c>
      <c r="E197" s="103"/>
      <c r="F197" s="104">
        <f>IF(E197&lt;18,0,IF(E197&gt;104,(200+(E197-104)*4),VLOOKUP(E197,baza!$C$3:$F$202,4,1)))</f>
        <v>0</v>
      </c>
      <c r="G197" s="105"/>
      <c r="H197" s="104">
        <f>IF(G197&lt;baza!$I$202,0,IF(G197&gt;baza!$I$3,(200+(G197-206)*2),VLOOKUP(G197,baza!$I:$J,2,0)))</f>
        <v>0</v>
      </c>
      <c r="I197" s="105"/>
      <c r="J197" s="104">
        <f>IF(I197&lt;210,0,IF(I197&gt;712,(200+I197-712),VLOOKUP(I197,baza!$B$3:$F$202,5,1)))</f>
        <v>0</v>
      </c>
      <c r="K197" s="106"/>
      <c r="L197" s="104">
        <f>IF(K197="",0,IF(K197&gt;(-1*baza!$D$3),0,IF(K197&lt;232.3,INT(200+(232.3-K197)*3),VLOOKUP(-K197,baza!$D$1:$F$203,3,1))))</f>
        <v>0</v>
      </c>
      <c r="M197" s="107">
        <f t="shared" ref="M197:M202" si="54">(D197+F197+H197+J197)</f>
        <v>0</v>
      </c>
      <c r="N197" s="108">
        <f t="shared" ref="N197:N202" si="55">M197+L197</f>
        <v>0</v>
      </c>
      <c r="O197" s="14"/>
      <c r="P197" s="9"/>
    </row>
    <row r="198" spans="1:16" ht="18" thickTop="1" thickBot="1">
      <c r="A198" s="30" t="str">
        <f>O201 &amp;"  " &amp;"I dzień"</f>
        <v>0  I dzień</v>
      </c>
      <c r="B198" s="114">
        <f>szkoły!D52</f>
        <v>0</v>
      </c>
      <c r="C198" s="103"/>
      <c r="D198" s="104">
        <f>IF(C198&gt;="",0,IF(C198&gt;=11.61,0,IF(C198&lt;6.91,(200+(6.91-C198)*100),VLOOKUP(-C198,baza!$E:$F,2,1))))</f>
        <v>0</v>
      </c>
      <c r="E198" s="103"/>
      <c r="F198" s="104">
        <f>IF(E198&lt;18,0,IF(E198&gt;104,(200+(E198-104)*4),VLOOKUP(E198,baza!$C$3:$F$202,4,1)))</f>
        <v>0</v>
      </c>
      <c r="G198" s="105"/>
      <c r="H198" s="104">
        <f>IF(G198&lt;baza!$I$202,0,IF(G198&gt;baza!$I$3,(200+(G198-206)*2),VLOOKUP(G198,baza!$I:$J,2,0)))</f>
        <v>0</v>
      </c>
      <c r="I198" s="105"/>
      <c r="J198" s="104">
        <f>IF(I198&lt;210,0,IF(I198&gt;712,(200+I198-712),VLOOKUP(I198,baza!$B$3:$F$202,5,1)))</f>
        <v>0</v>
      </c>
      <c r="K198" s="106"/>
      <c r="L198" s="104">
        <f>IF(K198="",0,IF(K198&gt;(-1*baza!$D$3),0,IF(K198&lt;232.3,INT(200+(232.3-K198)*3),VLOOKUP(-K198,baza!$D$1:$F$203,3,1))))</f>
        <v>0</v>
      </c>
      <c r="M198" s="107">
        <f t="shared" si="54"/>
        <v>0</v>
      </c>
      <c r="N198" s="108">
        <f t="shared" si="55"/>
        <v>0</v>
      </c>
      <c r="O198" s="14"/>
      <c r="P198" s="9"/>
    </row>
    <row r="199" spans="1:16" ht="18" thickTop="1" thickBot="1">
      <c r="A199" s="30" t="str">
        <f>O202 &amp;"  " &amp;"II dzień"</f>
        <v>0  II dzień</v>
      </c>
      <c r="B199" s="114">
        <f>szkoły!D53</f>
        <v>0</v>
      </c>
      <c r="C199" s="103"/>
      <c r="D199" s="104">
        <f>IF(C199&gt;="",0,IF(C199&gt;=11.61,0,IF(C199&lt;6.91,(200+(6.91-C199)*100),VLOOKUP(-C199,baza!$E:$F,2,1))))</f>
        <v>0</v>
      </c>
      <c r="E199" s="103"/>
      <c r="F199" s="104">
        <f>IF(E199&lt;18,0,IF(E199&gt;104,(200+(E199-104)*4),VLOOKUP(E199,baza!$C$3:$F$202,4,1)))</f>
        <v>0</v>
      </c>
      <c r="G199" s="105"/>
      <c r="H199" s="104">
        <f>IF(G199&lt;baza!$I$202,0,IF(G199&gt;baza!$I$3,(200+(G199-206)*2),VLOOKUP(G199,baza!$I:$J,2,0)))</f>
        <v>0</v>
      </c>
      <c r="I199" s="105"/>
      <c r="J199" s="104">
        <f>IF(I199&lt;210,0,IF(I199&gt;712,(200+I199-712),VLOOKUP(I199,baza!$B$3:$F$202,5,1)))</f>
        <v>0</v>
      </c>
      <c r="K199" s="106"/>
      <c r="L199" s="104">
        <f>IF(K199="",0,IF(K199&gt;(-1*baza!$D$3),0,IF(K199&lt;232.3,INT(200+(232.3-K199)*3),VLOOKUP(-K199,baza!$D$1:$F$203,3,1))))</f>
        <v>0</v>
      </c>
      <c r="M199" s="107">
        <f t="shared" si="54"/>
        <v>0</v>
      </c>
      <c r="N199" s="108">
        <f t="shared" si="55"/>
        <v>0</v>
      </c>
      <c r="O199" s="14"/>
      <c r="P199" s="9"/>
    </row>
    <row r="200" spans="1:16" ht="18" thickTop="1" thickBot="1">
      <c r="A200" s="10"/>
      <c r="B200" s="114">
        <f>szkoły!D54</f>
        <v>0</v>
      </c>
      <c r="C200" s="103"/>
      <c r="D200" s="104">
        <f>IF(C200&gt;="",0,IF(C200&gt;=11.61,0,IF(C200&lt;6.91,(200+(6.91-C200)*100),VLOOKUP(-C200,baza!$E:$F,2,1))))</f>
        <v>0</v>
      </c>
      <c r="E200" s="103"/>
      <c r="F200" s="104">
        <f>IF(E200&lt;18,0,IF(E200&gt;104,(200+(E200-104)*4),VLOOKUP(E200,baza!$C$3:$F$202,4,1)))</f>
        <v>0</v>
      </c>
      <c r="G200" s="105"/>
      <c r="H200" s="104">
        <f>IF(G200&lt;baza!$I$202,0,IF(G200&gt;baza!$I$3,(200+(G200-206)*2),VLOOKUP(G200,baza!$I:$J,2,0)))</f>
        <v>0</v>
      </c>
      <c r="I200" s="105"/>
      <c r="J200" s="104">
        <f>IF(I200&lt;210,0,IF(I200&gt;712,(200+I200-712),VLOOKUP(I200,baza!$B$3:$F$202,5,1)))</f>
        <v>0</v>
      </c>
      <c r="K200" s="106"/>
      <c r="L200" s="104">
        <f>IF(K200="",0,IF(K200&gt;(-1*baza!$D$3),0,IF(K200&lt;232.3,INT(200+(232.3-K200)*3),VLOOKUP(-K200,baza!$D$1:$F$203,3,1))))</f>
        <v>0</v>
      </c>
      <c r="M200" s="107">
        <f t="shared" si="54"/>
        <v>0</v>
      </c>
      <c r="N200" s="108">
        <f t="shared" si="55"/>
        <v>0</v>
      </c>
      <c r="O200" s="14"/>
      <c r="P200" s="9"/>
    </row>
    <row r="201" spans="1:16" ht="18" thickTop="1" thickBot="1">
      <c r="A201" s="10"/>
      <c r="B201" s="114">
        <f>szkoły!D55</f>
        <v>0</v>
      </c>
      <c r="C201" s="103"/>
      <c r="D201" s="104">
        <f>IF(C201&gt;="",0,IF(C201&gt;=11.61,0,IF(C201&lt;6.91,(200+(6.91-C201)*100),VLOOKUP(-C201,baza!$E:$F,2,1))))</f>
        <v>0</v>
      </c>
      <c r="E201" s="103"/>
      <c r="F201" s="104">
        <f>IF(E201&lt;18,0,IF(E201&gt;104,(200+(E201-104)*4),VLOOKUP(E201,baza!$C$3:$F$202,4,1)))</f>
        <v>0</v>
      </c>
      <c r="G201" s="105"/>
      <c r="H201" s="104">
        <f>IF(G201&lt;baza!$I$202,0,IF(G201&gt;baza!$I$3,(200+(G201-206)*2),VLOOKUP(G201,baza!$I:$J,2,0)))</f>
        <v>0</v>
      </c>
      <c r="I201" s="105"/>
      <c r="J201" s="104">
        <f>IF(I201&lt;210,0,IF(I201&gt;712,(200+I201-712),VLOOKUP(I201,baza!$B$3:$F$202,5,1)))</f>
        <v>0</v>
      </c>
      <c r="K201" s="106"/>
      <c r="L201" s="104">
        <f>IF(K201="",0,IF(K201&gt;(-1*baza!$D$3),0,IF(K201&lt;232.3,INT(200+(232.3-K201)*3),VLOOKUP(-K201,baza!$D$1:$F$203,3,1))))</f>
        <v>0</v>
      </c>
      <c r="M201" s="107">
        <f t="shared" si="54"/>
        <v>0</v>
      </c>
      <c r="N201" s="108">
        <f t="shared" si="55"/>
        <v>0</v>
      </c>
      <c r="O201" s="15">
        <f>SUM(M197:M202)</f>
        <v>0</v>
      </c>
      <c r="P201" s="8" t="s">
        <v>9</v>
      </c>
    </row>
    <row r="202" spans="1:16" ht="18" thickTop="1" thickBot="1">
      <c r="A202" s="10"/>
      <c r="B202" s="114">
        <f>szkoły!D56</f>
        <v>0</v>
      </c>
      <c r="C202" s="103"/>
      <c r="D202" s="104">
        <f>IF(C202&gt;="",0,IF(C202&gt;=11.61,0,IF(C202&lt;6.91,(200+(6.91-C202)*100),VLOOKUP(-C202,baza!$E:$F,2,1))))</f>
        <v>0</v>
      </c>
      <c r="E202" s="103"/>
      <c r="F202" s="104">
        <f>IF(E202&lt;18,0,IF(E202&gt;104,(200+(E202-104)*4),VLOOKUP(E202,baza!$C$3:$F$202,4,1)))</f>
        <v>0</v>
      </c>
      <c r="G202" s="105"/>
      <c r="H202" s="104">
        <f>IF(G202&lt;baza!$I$202,0,IF(G202&gt;baza!$I$3,(200+(G202-206)*2),VLOOKUP(G202,baza!$I:$J,2,0)))</f>
        <v>0</v>
      </c>
      <c r="I202" s="105"/>
      <c r="J202" s="104">
        <f>IF(I202&lt;210,0,IF(I202&gt;712,(200+I202-712),VLOOKUP(I202,baza!$B$3:$F$202,5,1)))</f>
        <v>0</v>
      </c>
      <c r="K202" s="106"/>
      <c r="L202" s="104">
        <f>IF(K202="",0,IF(K202&gt;(-1*baza!$D$3),0,IF(K202&lt;232.3,INT(200+(232.3-K202)*3),VLOOKUP(-K202,baza!$D$1:$F$203,3,1))))</f>
        <v>0</v>
      </c>
      <c r="M202" s="107">
        <f t="shared" si="54"/>
        <v>0</v>
      </c>
      <c r="N202" s="108">
        <f t="shared" si="55"/>
        <v>0</v>
      </c>
      <c r="O202" s="15">
        <f>IF(COUNT(N197:N202)&lt;6,SUM(N197:N202),SUM(N197:N202)-MIN(N197:N202))</f>
        <v>0</v>
      </c>
      <c r="P202" s="8" t="s">
        <v>11</v>
      </c>
    </row>
    <row r="203" spans="1:16" ht="16.5" thickTop="1" thickBot="1">
      <c r="A203" s="13">
        <f>szkoły!A58</f>
        <v>0</v>
      </c>
      <c r="B203" s="113" t="s">
        <v>6</v>
      </c>
      <c r="C203" s="25" t="s">
        <v>3</v>
      </c>
      <c r="D203" s="27" t="s">
        <v>7</v>
      </c>
      <c r="E203" s="28" t="s">
        <v>8</v>
      </c>
      <c r="F203" s="27" t="s">
        <v>7</v>
      </c>
      <c r="G203" s="27" t="s">
        <v>5</v>
      </c>
      <c r="H203" s="27" t="s">
        <v>7</v>
      </c>
      <c r="I203" s="27" t="s">
        <v>0</v>
      </c>
      <c r="J203" s="27" t="s">
        <v>7</v>
      </c>
      <c r="K203" s="29" t="s">
        <v>2</v>
      </c>
      <c r="L203" s="27" t="s">
        <v>7</v>
      </c>
      <c r="M203" s="26" t="s">
        <v>9</v>
      </c>
      <c r="N203" s="26" t="s">
        <v>10</v>
      </c>
      <c r="O203" s="14"/>
      <c r="P203" s="9"/>
    </row>
    <row r="204" spans="1:16" ht="18" thickTop="1" thickBot="1">
      <c r="A204" s="7"/>
      <c r="B204" s="114">
        <f>szkoły!A59</f>
        <v>0</v>
      </c>
      <c r="C204" s="103"/>
      <c r="D204" s="104">
        <f>IF(C204&gt;="",0,IF(C204&gt;=11.61,0,IF(C204&lt;6.91,(200+(6.91-C204)*100),VLOOKUP(-C204,baza!$E:$F,2,1))))</f>
        <v>0</v>
      </c>
      <c r="E204" s="103"/>
      <c r="F204" s="104">
        <f>IF(E204&lt;18,0,IF(E204&gt;104,(200+(E204-104)*4),VLOOKUP(E204,baza!$C$3:$F$202,4,1)))</f>
        <v>0</v>
      </c>
      <c r="G204" s="105"/>
      <c r="H204" s="104">
        <f>IF(G204&lt;baza!$I$202,0,IF(G204&gt;baza!$I$3,(200+(G204-206)*2),VLOOKUP(G204,baza!$I:$J,2,0)))</f>
        <v>0</v>
      </c>
      <c r="I204" s="105"/>
      <c r="J204" s="104">
        <f>IF(I204&lt;210,0,IF(I204&gt;712,(200+I204-712),VLOOKUP(I204,baza!$B$3:$F$202,5,1)))</f>
        <v>0</v>
      </c>
      <c r="K204" s="106"/>
      <c r="L204" s="104">
        <f>IF(K204="",0,IF(K204&gt;(-1*baza!$D$3),0,IF(K204&lt;232.3,INT(200+(232.3-K204)*3),VLOOKUP(-K204,baza!$D$1:$F$203,3,1))))</f>
        <v>0</v>
      </c>
      <c r="M204" s="107">
        <f t="shared" ref="M204:M209" si="56">(D204+F204+H204+J204)</f>
        <v>0</v>
      </c>
      <c r="N204" s="108">
        <f t="shared" ref="N204:N209" si="57">M204+L204</f>
        <v>0</v>
      </c>
      <c r="O204" s="14"/>
      <c r="P204" s="9"/>
    </row>
    <row r="205" spans="1:16" ht="18" thickTop="1" thickBot="1">
      <c r="A205" s="30" t="str">
        <f>O208 &amp;"  " &amp;"I dzień"</f>
        <v>0  I dzień</v>
      </c>
      <c r="B205" s="114">
        <f>szkoły!A60</f>
        <v>0</v>
      </c>
      <c r="C205" s="103"/>
      <c r="D205" s="104">
        <f>IF(C205&gt;="",0,IF(C205&gt;=11.61,0,IF(C205&lt;6.91,(200+(6.91-C205)*100),VLOOKUP(-C205,baza!$E:$F,2,1))))</f>
        <v>0</v>
      </c>
      <c r="E205" s="103"/>
      <c r="F205" s="104">
        <f>IF(E205&lt;18,0,IF(E205&gt;104,(200+(E205-104)*4),VLOOKUP(E205,baza!$C$3:$F$202,4,1)))</f>
        <v>0</v>
      </c>
      <c r="G205" s="105"/>
      <c r="H205" s="104">
        <f>IF(G205&lt;baza!$I$202,0,IF(G205&gt;baza!$I$3,(200+(G205-206)*2),VLOOKUP(G205,baza!$I:$J,2,0)))</f>
        <v>0</v>
      </c>
      <c r="I205" s="105"/>
      <c r="J205" s="104">
        <f>IF(I205&lt;210,0,IF(I205&gt;712,(200+I205-712),VLOOKUP(I205,baza!$B$3:$F$202,5,1)))</f>
        <v>0</v>
      </c>
      <c r="K205" s="106"/>
      <c r="L205" s="104">
        <f>IF(K205="",0,IF(K205&gt;(-1*baza!$D$3),0,IF(K205&lt;232.3,INT(200+(232.3-K205)*3),VLOOKUP(-K205,baza!$D$1:$F$203,3,1))))</f>
        <v>0</v>
      </c>
      <c r="M205" s="107">
        <f t="shared" si="56"/>
        <v>0</v>
      </c>
      <c r="N205" s="108">
        <f t="shared" si="57"/>
        <v>0</v>
      </c>
      <c r="O205" s="14"/>
      <c r="P205" s="9"/>
    </row>
    <row r="206" spans="1:16" ht="18" thickTop="1" thickBot="1">
      <c r="A206" s="30" t="str">
        <f>O209 &amp;"  " &amp;"II dzień"</f>
        <v>0  II dzień</v>
      </c>
      <c r="B206" s="114">
        <f>szkoły!A61</f>
        <v>0</v>
      </c>
      <c r="C206" s="103"/>
      <c r="D206" s="104">
        <f>IF(C206&gt;="",0,IF(C206&gt;=11.61,0,IF(C206&lt;6.91,(200+(6.91-C206)*100),VLOOKUP(-C206,baza!$E:$F,2,1))))</f>
        <v>0</v>
      </c>
      <c r="E206" s="103"/>
      <c r="F206" s="104">
        <f>IF(E206&lt;18,0,IF(E206&gt;104,(200+(E206-104)*4),VLOOKUP(E206,baza!$C$3:$F$202,4,1)))</f>
        <v>0</v>
      </c>
      <c r="G206" s="105"/>
      <c r="H206" s="104">
        <f>IF(G206&lt;baza!$I$202,0,IF(G206&gt;baza!$I$3,(200+(G206-206)*2),VLOOKUP(G206,baza!$I:$J,2,0)))</f>
        <v>0</v>
      </c>
      <c r="I206" s="105"/>
      <c r="J206" s="104">
        <f>IF(I206&lt;210,0,IF(I206&gt;712,(200+I206-712),VLOOKUP(I206,baza!$B$3:$F$202,5,1)))</f>
        <v>0</v>
      </c>
      <c r="K206" s="106"/>
      <c r="L206" s="104">
        <f>IF(K206="",0,IF(K206&gt;(-1*baza!$D$3),0,IF(K206&lt;232.3,INT(200+(232.3-K206)*3),VLOOKUP(-K206,baza!$D$1:$F$203,3,1))))</f>
        <v>0</v>
      </c>
      <c r="M206" s="107">
        <f t="shared" si="56"/>
        <v>0</v>
      </c>
      <c r="N206" s="108">
        <f t="shared" si="57"/>
        <v>0</v>
      </c>
      <c r="O206" s="14"/>
      <c r="P206" s="9"/>
    </row>
    <row r="207" spans="1:16" ht="18" thickTop="1" thickBot="1">
      <c r="A207" s="7"/>
      <c r="B207" s="114">
        <f>szkoły!A62</f>
        <v>0</v>
      </c>
      <c r="C207" s="103"/>
      <c r="D207" s="104">
        <f>IF(C207&gt;="",0,IF(C207&gt;=11.61,0,IF(C207&lt;6.91,(200+(6.91-C207)*100),VLOOKUP(-C207,baza!$E:$F,2,1))))</f>
        <v>0</v>
      </c>
      <c r="E207" s="103"/>
      <c r="F207" s="104">
        <f>IF(E207&lt;18,0,IF(E207&gt;104,(200+(E207-104)*4),VLOOKUP(E207,baza!$C$3:$F$202,4,1)))</f>
        <v>0</v>
      </c>
      <c r="G207" s="105"/>
      <c r="H207" s="104">
        <f>IF(G207&lt;baza!$I$202,0,IF(G207&gt;baza!$I$3,(200+(G207-206)*2),VLOOKUP(G207,baza!$I:$J,2,0)))</f>
        <v>0</v>
      </c>
      <c r="I207" s="105"/>
      <c r="J207" s="104">
        <f>IF(I207&lt;210,0,IF(I207&gt;712,(200+I207-712),VLOOKUP(I207,baza!$B$3:$F$202,5,1)))</f>
        <v>0</v>
      </c>
      <c r="K207" s="106"/>
      <c r="L207" s="104">
        <f>IF(K207="",0,IF(K207&gt;(-1*baza!$D$3),0,IF(K207&lt;232.3,INT(200+(232.3-K207)*3),VLOOKUP(-K207,baza!$D$1:$F$203,3,1))))</f>
        <v>0</v>
      </c>
      <c r="M207" s="107">
        <f t="shared" si="56"/>
        <v>0</v>
      </c>
      <c r="N207" s="108">
        <f t="shared" si="57"/>
        <v>0</v>
      </c>
      <c r="O207" s="14"/>
      <c r="P207" s="9"/>
    </row>
    <row r="208" spans="1:16" ht="18" thickTop="1" thickBot="1">
      <c r="A208" s="7"/>
      <c r="B208" s="114">
        <f>szkoły!A63</f>
        <v>0</v>
      </c>
      <c r="C208" s="103"/>
      <c r="D208" s="104">
        <f>IF(C208&gt;="",0,IF(C208&gt;=11.61,0,IF(C208&lt;6.91,(200+(6.91-C208)*100),VLOOKUP(-C208,baza!$E:$F,2,1))))</f>
        <v>0</v>
      </c>
      <c r="E208" s="103"/>
      <c r="F208" s="104">
        <f>IF(E208&lt;18,0,IF(E208&gt;104,(200+(E208-104)*4),VLOOKUP(E208,baza!$C$3:$F$202,4,1)))</f>
        <v>0</v>
      </c>
      <c r="G208" s="105"/>
      <c r="H208" s="104">
        <f>IF(G208&lt;baza!$I$202,0,IF(G208&gt;baza!$I$3,(200+(G208-206)*2),VLOOKUP(G208,baza!$I:$J,2,0)))</f>
        <v>0</v>
      </c>
      <c r="I208" s="105"/>
      <c r="J208" s="104">
        <f>IF(I208&lt;210,0,IF(I208&gt;712,(200+I208-712),VLOOKUP(I208,baza!$B$3:$F$202,5,1)))</f>
        <v>0</v>
      </c>
      <c r="K208" s="106"/>
      <c r="L208" s="104">
        <f>IF(K208="",0,IF(K208&gt;(-1*baza!$D$3),0,IF(K208&lt;232.3,INT(200+(232.3-K208)*3),VLOOKUP(-K208,baza!$D$1:$F$203,3,1))))</f>
        <v>0</v>
      </c>
      <c r="M208" s="107">
        <f t="shared" si="56"/>
        <v>0</v>
      </c>
      <c r="N208" s="108">
        <f t="shared" si="57"/>
        <v>0</v>
      </c>
      <c r="O208" s="15">
        <f>SUM(M204:M209)</f>
        <v>0</v>
      </c>
      <c r="P208" s="8" t="s">
        <v>9</v>
      </c>
    </row>
    <row r="209" spans="1:16" ht="18" thickTop="1" thickBot="1">
      <c r="A209" s="7"/>
      <c r="B209" s="114">
        <f>szkoły!A64</f>
        <v>0</v>
      </c>
      <c r="C209" s="103"/>
      <c r="D209" s="104">
        <f>IF(C209&gt;="",0,IF(C209&gt;=11.61,0,IF(C209&lt;6.91,(200+(6.91-C209)*100),VLOOKUP(-C209,baza!$E:$F,2,1))))</f>
        <v>0</v>
      </c>
      <c r="E209" s="103"/>
      <c r="F209" s="104">
        <f>IF(E209&lt;18,0,IF(E209&gt;104,(200+(E209-104)*4),VLOOKUP(E209,baza!$C$3:$F$202,4,1)))</f>
        <v>0</v>
      </c>
      <c r="G209" s="105"/>
      <c r="H209" s="104">
        <f>IF(G209&lt;baza!$I$202,0,IF(G209&gt;baza!$I$3,(200+(G209-206)*2),VLOOKUP(G209,baza!$I:$J,2,0)))</f>
        <v>0</v>
      </c>
      <c r="I209" s="105"/>
      <c r="J209" s="104">
        <f>IF(I209&lt;210,0,IF(I209&gt;712,(200+I209-712),VLOOKUP(I209,baza!$B$3:$F$202,5,1)))</f>
        <v>0</v>
      </c>
      <c r="K209" s="106"/>
      <c r="L209" s="104">
        <f>IF(K209="",0,IF(K209&gt;(-1*baza!$D$3),0,IF(K209&lt;232.3,INT(200+(232.3-K209)*3),VLOOKUP(-K209,baza!$D$1:$F$203,3,1))))</f>
        <v>0</v>
      </c>
      <c r="M209" s="107">
        <f t="shared" si="56"/>
        <v>0</v>
      </c>
      <c r="N209" s="108">
        <f t="shared" si="57"/>
        <v>0</v>
      </c>
      <c r="O209" s="15">
        <f>IF(COUNT(N204:N209)&lt;6,SUM(N204:N209),SUM(N204:N209)-MIN(N204:N209))</f>
        <v>0</v>
      </c>
      <c r="P209" s="8" t="s">
        <v>11</v>
      </c>
    </row>
    <row r="210" spans="1:16" ht="16.5" thickTop="1" thickBot="1">
      <c r="A210" s="13">
        <f>szkoły!B58</f>
        <v>0</v>
      </c>
      <c r="B210" s="113" t="s">
        <v>6</v>
      </c>
      <c r="C210" s="25" t="s">
        <v>3</v>
      </c>
      <c r="D210" s="27" t="s">
        <v>7</v>
      </c>
      <c r="E210" s="28" t="s">
        <v>8</v>
      </c>
      <c r="F210" s="27" t="s">
        <v>7</v>
      </c>
      <c r="G210" s="27" t="s">
        <v>5</v>
      </c>
      <c r="H210" s="27" t="s">
        <v>7</v>
      </c>
      <c r="I210" s="27" t="s">
        <v>0</v>
      </c>
      <c r="J210" s="27" t="s">
        <v>7</v>
      </c>
      <c r="K210" s="29" t="s">
        <v>2</v>
      </c>
      <c r="L210" s="27" t="s">
        <v>7</v>
      </c>
      <c r="M210" s="26" t="s">
        <v>9</v>
      </c>
      <c r="N210" s="26" t="s">
        <v>10</v>
      </c>
      <c r="O210" s="14"/>
      <c r="P210" s="9"/>
    </row>
    <row r="211" spans="1:16" ht="18" thickTop="1" thickBot="1">
      <c r="A211" s="10"/>
      <c r="B211" s="114">
        <f>szkoły!B59</f>
        <v>0</v>
      </c>
      <c r="C211" s="103"/>
      <c r="D211" s="104">
        <f>IF(C211&gt;="",0,IF(C211&gt;=11.61,0,IF(C211&lt;6.91,(200+(6.91-C211)*100),VLOOKUP(-C211,baza!$E:$F,2,1))))</f>
        <v>0</v>
      </c>
      <c r="E211" s="103"/>
      <c r="F211" s="104">
        <f>IF(E211&lt;18,0,IF(E211&gt;104,(200+(E211-104)*4),VLOOKUP(E211,baza!$C$3:$F$202,4,1)))</f>
        <v>0</v>
      </c>
      <c r="G211" s="105"/>
      <c r="H211" s="104">
        <f>IF(G211&lt;baza!$I$202,0,IF(G211&gt;baza!$I$3,(200+(G211-206)*2),VLOOKUP(G211,baza!$I:$J,2,0)))</f>
        <v>0</v>
      </c>
      <c r="I211" s="105"/>
      <c r="J211" s="104">
        <f>IF(I211&lt;210,0,IF(I211&gt;712,(200+I211-712),VLOOKUP(I211,baza!$B$3:$F$202,5,1)))</f>
        <v>0</v>
      </c>
      <c r="K211" s="106"/>
      <c r="L211" s="104">
        <f>IF(K211="",0,IF(K211&gt;(-1*baza!$D$3),0,IF(K211&lt;232.3,INT(200+(232.3-K211)*3),VLOOKUP(-K211,baza!$D$1:$F$203,3,1))))</f>
        <v>0</v>
      </c>
      <c r="M211" s="107">
        <f t="shared" ref="M211:M216" si="58">(D211+F211+H211+J211)</f>
        <v>0</v>
      </c>
      <c r="N211" s="108">
        <f t="shared" ref="N211:N216" si="59">M211+L211</f>
        <v>0</v>
      </c>
      <c r="O211" s="14"/>
      <c r="P211" s="9"/>
    </row>
    <row r="212" spans="1:16" ht="18" thickTop="1" thickBot="1">
      <c r="A212" s="30" t="str">
        <f>O215 &amp;"  " &amp;"I dzień"</f>
        <v>0  I dzień</v>
      </c>
      <c r="B212" s="114">
        <f>szkoły!B60</f>
        <v>0</v>
      </c>
      <c r="C212" s="103"/>
      <c r="D212" s="104">
        <f>IF(C212&gt;="",0,IF(C212&gt;=11.61,0,IF(C212&lt;6.91,(200+(6.91-C212)*100),VLOOKUP(-C212,baza!$E:$F,2,1))))</f>
        <v>0</v>
      </c>
      <c r="E212" s="103"/>
      <c r="F212" s="104">
        <f>IF(E212&lt;18,0,IF(E212&gt;104,(200+(E212-104)*4),VLOOKUP(E212,baza!$C$3:$F$202,4,1)))</f>
        <v>0</v>
      </c>
      <c r="G212" s="105"/>
      <c r="H212" s="104">
        <f>IF(G212&lt;baza!$I$202,0,IF(G212&gt;baza!$I$3,(200+(G212-206)*2),VLOOKUP(G212,baza!$I:$J,2,0)))</f>
        <v>0</v>
      </c>
      <c r="I212" s="105"/>
      <c r="J212" s="104">
        <f>IF(I212&lt;210,0,IF(I212&gt;712,(200+I212-712),VLOOKUP(I212,baza!$B$3:$F$202,5,1)))</f>
        <v>0</v>
      </c>
      <c r="K212" s="106"/>
      <c r="L212" s="104">
        <f>IF(K212="",0,IF(K212&gt;(-1*baza!$D$3),0,IF(K212&lt;232.3,INT(200+(232.3-K212)*3),VLOOKUP(-K212,baza!$D$1:$F$203,3,1))))</f>
        <v>0</v>
      </c>
      <c r="M212" s="107">
        <f t="shared" si="58"/>
        <v>0</v>
      </c>
      <c r="N212" s="108">
        <f t="shared" si="59"/>
        <v>0</v>
      </c>
      <c r="O212" s="14"/>
      <c r="P212" s="9"/>
    </row>
    <row r="213" spans="1:16" ht="18" thickTop="1" thickBot="1">
      <c r="A213" s="30" t="str">
        <f>O216 &amp;"  " &amp;"II dzień"</f>
        <v>0  II dzień</v>
      </c>
      <c r="B213" s="114">
        <f>szkoły!B61</f>
        <v>0</v>
      </c>
      <c r="C213" s="103"/>
      <c r="D213" s="104">
        <f>IF(C213&gt;="",0,IF(C213&gt;=11.61,0,IF(C213&lt;6.91,(200+(6.91-C213)*100),VLOOKUP(-C213,baza!$E:$F,2,1))))</f>
        <v>0</v>
      </c>
      <c r="E213" s="103"/>
      <c r="F213" s="104">
        <f>IF(E213&lt;18,0,IF(E213&gt;104,(200+(E213-104)*4),VLOOKUP(E213,baza!$C$3:$F$202,4,1)))</f>
        <v>0</v>
      </c>
      <c r="G213" s="105"/>
      <c r="H213" s="104">
        <f>IF(G213&lt;baza!$I$202,0,IF(G213&gt;baza!$I$3,(200+(G213-206)*2),VLOOKUP(G213,baza!$I:$J,2,0)))</f>
        <v>0</v>
      </c>
      <c r="I213" s="105"/>
      <c r="J213" s="104">
        <f>IF(I213&lt;210,0,IF(I213&gt;712,(200+I213-712),VLOOKUP(I213,baza!$B$3:$F$202,5,1)))</f>
        <v>0</v>
      </c>
      <c r="K213" s="106"/>
      <c r="L213" s="104">
        <f>IF(K213="",0,IF(K213&gt;(-1*baza!$D$3),0,IF(K213&lt;232.3,INT(200+(232.3-K213)*3),VLOOKUP(-K213,baza!$D$1:$F$203,3,1))))</f>
        <v>0</v>
      </c>
      <c r="M213" s="107">
        <f t="shared" si="58"/>
        <v>0</v>
      </c>
      <c r="N213" s="108">
        <f t="shared" si="59"/>
        <v>0</v>
      </c>
      <c r="O213" s="14"/>
      <c r="P213" s="9"/>
    </row>
    <row r="214" spans="1:16" ht="18" thickTop="1" thickBot="1">
      <c r="A214" s="10"/>
      <c r="B214" s="114">
        <f>szkoły!B62</f>
        <v>0</v>
      </c>
      <c r="C214" s="103"/>
      <c r="D214" s="104">
        <f>IF(C214&gt;="",0,IF(C214&gt;=11.61,0,IF(C214&lt;6.91,(200+(6.91-C214)*100),VLOOKUP(-C214,baza!$E:$F,2,1))))</f>
        <v>0</v>
      </c>
      <c r="E214" s="103"/>
      <c r="F214" s="104">
        <f>IF(E214&lt;18,0,IF(E214&gt;104,(200+(E214-104)*4),VLOOKUP(E214,baza!$C$3:$F$202,4,1)))</f>
        <v>0</v>
      </c>
      <c r="G214" s="105"/>
      <c r="H214" s="104">
        <f>IF(G214&lt;baza!$I$202,0,IF(G214&gt;baza!$I$3,(200+(G214-206)*2),VLOOKUP(G214,baza!$I:$J,2,0)))</f>
        <v>0</v>
      </c>
      <c r="I214" s="105"/>
      <c r="J214" s="104">
        <f>IF(I214&lt;210,0,IF(I214&gt;712,(200+I214-712),VLOOKUP(I214,baza!$B$3:$F$202,5,1)))</f>
        <v>0</v>
      </c>
      <c r="K214" s="106"/>
      <c r="L214" s="104">
        <f>IF(K214="",0,IF(K214&gt;(-1*baza!$D$3),0,IF(K214&lt;232.3,INT(200+(232.3-K214)*3),VLOOKUP(-K214,baza!$D$1:$F$203,3,1))))</f>
        <v>0</v>
      </c>
      <c r="M214" s="107">
        <f t="shared" si="58"/>
        <v>0</v>
      </c>
      <c r="N214" s="108">
        <f t="shared" si="59"/>
        <v>0</v>
      </c>
      <c r="O214" s="14"/>
      <c r="P214" s="9"/>
    </row>
    <row r="215" spans="1:16" ht="18" thickTop="1" thickBot="1">
      <c r="A215" s="10"/>
      <c r="B215" s="114">
        <f>szkoły!B63</f>
        <v>0</v>
      </c>
      <c r="C215" s="103"/>
      <c r="D215" s="104">
        <f>IF(C215&gt;="",0,IF(C215&gt;=11.61,0,IF(C215&lt;6.91,(200+(6.91-C215)*100),VLOOKUP(-C215,baza!$E:$F,2,1))))</f>
        <v>0</v>
      </c>
      <c r="E215" s="103"/>
      <c r="F215" s="104">
        <f>IF(E215&lt;18,0,IF(E215&gt;104,(200+(E215-104)*4),VLOOKUP(E215,baza!$C$3:$F$202,4,1)))</f>
        <v>0</v>
      </c>
      <c r="G215" s="105"/>
      <c r="H215" s="104">
        <f>IF(G215&lt;baza!$I$202,0,IF(G215&gt;baza!$I$3,(200+(G215-206)*2),VLOOKUP(G215,baza!$I:$J,2,0)))</f>
        <v>0</v>
      </c>
      <c r="I215" s="105"/>
      <c r="J215" s="104">
        <f>IF(I215&lt;210,0,IF(I215&gt;712,(200+I215-712),VLOOKUP(I215,baza!$B$3:$F$202,5,1)))</f>
        <v>0</v>
      </c>
      <c r="K215" s="106"/>
      <c r="L215" s="104">
        <f>IF(K215="",0,IF(K215&gt;(-1*baza!$D$3),0,IF(K215&lt;232.3,INT(200+(232.3-K215)*3),VLOOKUP(-K215,baza!$D$1:$F$203,3,1))))</f>
        <v>0</v>
      </c>
      <c r="M215" s="107">
        <f t="shared" si="58"/>
        <v>0</v>
      </c>
      <c r="N215" s="108">
        <f t="shared" si="59"/>
        <v>0</v>
      </c>
      <c r="O215" s="15">
        <f>SUM(M211:M216)</f>
        <v>0</v>
      </c>
      <c r="P215" s="8" t="s">
        <v>9</v>
      </c>
    </row>
    <row r="216" spans="1:16" ht="18" thickTop="1" thickBot="1">
      <c r="A216" s="10"/>
      <c r="B216" s="114">
        <f>szkoły!B64</f>
        <v>0</v>
      </c>
      <c r="C216" s="103"/>
      <c r="D216" s="104">
        <f>IF(C216&gt;="",0,IF(C216&gt;=11.61,0,IF(C216&lt;6.91,(200+(6.91-C216)*100),VLOOKUP(-C216,baza!$E:$F,2,1))))</f>
        <v>0</v>
      </c>
      <c r="E216" s="103"/>
      <c r="F216" s="104">
        <f>IF(E216&lt;18,0,IF(E216&gt;104,(200+(E216-104)*4),VLOOKUP(E216,baza!$C$3:$F$202,4,1)))</f>
        <v>0</v>
      </c>
      <c r="G216" s="105"/>
      <c r="H216" s="104">
        <f>IF(G216&lt;baza!$I$202,0,IF(G216&gt;baza!$I$3,(200+(G216-206)*2),VLOOKUP(G216,baza!$I:$J,2,0)))</f>
        <v>0</v>
      </c>
      <c r="I216" s="105"/>
      <c r="J216" s="104">
        <f>IF(I216&lt;210,0,IF(I216&gt;712,(200+I216-712),VLOOKUP(I216,baza!$B$3:$F$202,5,1)))</f>
        <v>0</v>
      </c>
      <c r="K216" s="106"/>
      <c r="L216" s="104">
        <f>IF(K216="",0,IF(K216&gt;(-1*baza!$D$3),0,IF(K216&lt;232.3,INT(200+(232.3-K216)*3),VLOOKUP(-K216,baza!$D$1:$F$203,3,1))))</f>
        <v>0</v>
      </c>
      <c r="M216" s="107">
        <f t="shared" si="58"/>
        <v>0</v>
      </c>
      <c r="N216" s="108">
        <f t="shared" si="59"/>
        <v>0</v>
      </c>
      <c r="O216" s="15">
        <f>IF(COUNT(N211:N216)&lt;6,SUM(N211:N216),SUM(N211:N216)-MIN(N211:N216))</f>
        <v>0</v>
      </c>
      <c r="P216" s="8" t="s">
        <v>11</v>
      </c>
    </row>
    <row r="217" spans="1:16" ht="16.5" thickTop="1" thickBot="1">
      <c r="A217" s="13">
        <f>szkoły!C58</f>
        <v>0</v>
      </c>
      <c r="B217" s="113" t="s">
        <v>6</v>
      </c>
      <c r="C217" s="25" t="s">
        <v>3</v>
      </c>
      <c r="D217" s="27" t="s">
        <v>7</v>
      </c>
      <c r="E217" s="28" t="s">
        <v>8</v>
      </c>
      <c r="F217" s="27" t="s">
        <v>7</v>
      </c>
      <c r="G217" s="27" t="s">
        <v>5</v>
      </c>
      <c r="H217" s="27" t="s">
        <v>7</v>
      </c>
      <c r="I217" s="27" t="s">
        <v>0</v>
      </c>
      <c r="J217" s="27" t="s">
        <v>7</v>
      </c>
      <c r="K217" s="29" t="s">
        <v>2</v>
      </c>
      <c r="L217" s="27" t="s">
        <v>7</v>
      </c>
      <c r="M217" s="26" t="s">
        <v>9</v>
      </c>
      <c r="N217" s="26" t="s">
        <v>10</v>
      </c>
      <c r="O217" s="14"/>
      <c r="P217" s="9"/>
    </row>
    <row r="218" spans="1:16" ht="18" thickTop="1" thickBot="1">
      <c r="A218" s="7"/>
      <c r="B218" s="114">
        <f>szkoły!C59</f>
        <v>0</v>
      </c>
      <c r="C218" s="103"/>
      <c r="D218" s="104">
        <f>IF(C218&gt;="",0,IF(C218&gt;=11.61,0,IF(C218&lt;6.91,(200+(6.91-C218)*100),VLOOKUP(-C218,baza!$E:$F,2,1))))</f>
        <v>0</v>
      </c>
      <c r="E218" s="103"/>
      <c r="F218" s="104">
        <f>IF(E218&lt;18,0,IF(E218&gt;104,(200+(E218-104)*4),VLOOKUP(E218,baza!$C$3:$F$202,4,1)))</f>
        <v>0</v>
      </c>
      <c r="G218" s="105"/>
      <c r="H218" s="104">
        <f>IF(G218&lt;baza!$I$202,0,IF(G218&gt;baza!$I$3,(200+(G218-206)*2),VLOOKUP(G218,baza!$I:$J,2,0)))</f>
        <v>0</v>
      </c>
      <c r="I218" s="105"/>
      <c r="J218" s="104">
        <f>IF(I218&lt;210,0,IF(I218&gt;712,(200+I218-712),VLOOKUP(I218,baza!$B$3:$F$202,5,1)))</f>
        <v>0</v>
      </c>
      <c r="K218" s="106"/>
      <c r="L218" s="104">
        <f>IF(K218="",0,IF(K218&gt;(-1*baza!$D$3),0,IF(K218&lt;232.3,INT(200+(232.3-K218)*3),VLOOKUP(-K218,baza!$D$1:$F$203,3,1))))</f>
        <v>0</v>
      </c>
      <c r="M218" s="107">
        <f t="shared" ref="M218:M223" si="60">(D218+F218+H218+J218)</f>
        <v>0</v>
      </c>
      <c r="N218" s="108">
        <f t="shared" ref="N218:N223" si="61">M218+L218</f>
        <v>0</v>
      </c>
      <c r="O218" s="14"/>
      <c r="P218" s="9"/>
    </row>
    <row r="219" spans="1:16" ht="18" thickTop="1" thickBot="1">
      <c r="A219" s="30" t="str">
        <f>O222 &amp;"  " &amp;"I dzień"</f>
        <v>0  I dzień</v>
      </c>
      <c r="B219" s="114">
        <f>szkoły!C60</f>
        <v>0</v>
      </c>
      <c r="C219" s="103"/>
      <c r="D219" s="104">
        <f>IF(C219&gt;="",0,IF(C219&gt;=11.61,0,IF(C219&lt;6.91,(200+(6.91-C219)*100),VLOOKUP(-C219,baza!$E:$F,2,1))))</f>
        <v>0</v>
      </c>
      <c r="E219" s="103"/>
      <c r="F219" s="104">
        <f>IF(E219&lt;18,0,IF(E219&gt;104,(200+(E219-104)*4),VLOOKUP(E219,baza!$C$3:$F$202,4,1)))</f>
        <v>0</v>
      </c>
      <c r="G219" s="105"/>
      <c r="H219" s="104">
        <f>IF(G219&lt;baza!$I$202,0,IF(G219&gt;baza!$I$3,(200+(G219-206)*2),VLOOKUP(G219,baza!$I:$J,2,0)))</f>
        <v>0</v>
      </c>
      <c r="I219" s="105"/>
      <c r="J219" s="104">
        <f>IF(I219&lt;210,0,IF(I219&gt;712,(200+I219-712),VLOOKUP(I219,baza!$B$3:$F$202,5,1)))</f>
        <v>0</v>
      </c>
      <c r="K219" s="106"/>
      <c r="L219" s="104">
        <f>IF(K219="",0,IF(K219&gt;(-1*baza!$D$3),0,IF(K219&lt;232.3,INT(200+(232.3-K219)*3),VLOOKUP(-K219,baza!$D$1:$F$203,3,1))))</f>
        <v>0</v>
      </c>
      <c r="M219" s="107">
        <f t="shared" si="60"/>
        <v>0</v>
      </c>
      <c r="N219" s="108">
        <f t="shared" si="61"/>
        <v>0</v>
      </c>
      <c r="O219" s="14"/>
      <c r="P219" s="9"/>
    </row>
    <row r="220" spans="1:16" ht="18" thickTop="1" thickBot="1">
      <c r="A220" s="30" t="str">
        <f>O223 &amp;"  " &amp;"II dzień"</f>
        <v>0  II dzień</v>
      </c>
      <c r="B220" s="114">
        <f>szkoły!C61</f>
        <v>0</v>
      </c>
      <c r="C220" s="103"/>
      <c r="D220" s="104">
        <f>IF(C220&gt;="",0,IF(C220&gt;=11.61,0,IF(C220&lt;6.91,(200+(6.91-C220)*100),VLOOKUP(-C220,baza!$E:$F,2,1))))</f>
        <v>0</v>
      </c>
      <c r="E220" s="103"/>
      <c r="F220" s="104">
        <f>IF(E220&lt;18,0,IF(E220&gt;104,(200+(E220-104)*4),VLOOKUP(E220,baza!$C$3:$F$202,4,1)))</f>
        <v>0</v>
      </c>
      <c r="G220" s="105"/>
      <c r="H220" s="104">
        <f>IF(G220&lt;baza!$I$202,0,IF(G220&gt;baza!$I$3,(200+(G220-206)*2),VLOOKUP(G220,baza!$I:$J,2,0)))</f>
        <v>0</v>
      </c>
      <c r="I220" s="105"/>
      <c r="J220" s="104">
        <f>IF(I220&lt;210,0,IF(I220&gt;712,(200+I220-712),VLOOKUP(I220,baza!$B$3:$F$202,5,1)))</f>
        <v>0</v>
      </c>
      <c r="K220" s="106"/>
      <c r="L220" s="104">
        <f>IF(K220="",0,IF(K220&gt;(-1*baza!$D$3),0,IF(K220&lt;232.3,INT(200+(232.3-K220)*3),VLOOKUP(-K220,baza!$D$1:$F$203,3,1))))</f>
        <v>0</v>
      </c>
      <c r="M220" s="107">
        <f t="shared" si="60"/>
        <v>0</v>
      </c>
      <c r="N220" s="108">
        <f t="shared" si="61"/>
        <v>0</v>
      </c>
      <c r="O220" s="14"/>
      <c r="P220" s="9"/>
    </row>
    <row r="221" spans="1:16" ht="18" thickTop="1" thickBot="1">
      <c r="A221" s="7"/>
      <c r="B221" s="114">
        <f>szkoły!C62</f>
        <v>0</v>
      </c>
      <c r="C221" s="103"/>
      <c r="D221" s="104">
        <f>IF(C221&gt;="",0,IF(C221&gt;=11.61,0,IF(C221&lt;6.91,(200+(6.91-C221)*100),VLOOKUP(-C221,baza!$E:$F,2,1))))</f>
        <v>0</v>
      </c>
      <c r="E221" s="103"/>
      <c r="F221" s="104">
        <f>IF(E221&lt;18,0,IF(E221&gt;104,(200+(E221-104)*4),VLOOKUP(E221,baza!$C$3:$F$202,4,1)))</f>
        <v>0</v>
      </c>
      <c r="G221" s="105"/>
      <c r="H221" s="104">
        <f>IF(G221&lt;baza!$I$202,0,IF(G221&gt;baza!$I$3,(200+(G221-206)*2),VLOOKUP(G221,baza!$I:$J,2,0)))</f>
        <v>0</v>
      </c>
      <c r="I221" s="105"/>
      <c r="J221" s="104">
        <f>IF(I221&lt;210,0,IF(I221&gt;712,(200+I221-712),VLOOKUP(I221,baza!$B$3:$F$202,5,1)))</f>
        <v>0</v>
      </c>
      <c r="K221" s="106"/>
      <c r="L221" s="104">
        <f>IF(K221="",0,IF(K221&gt;(-1*baza!$D$3),0,IF(K221&lt;232.3,INT(200+(232.3-K221)*3),VLOOKUP(-K221,baza!$D$1:$F$203,3,1))))</f>
        <v>0</v>
      </c>
      <c r="M221" s="107">
        <f t="shared" si="60"/>
        <v>0</v>
      </c>
      <c r="N221" s="108">
        <f t="shared" si="61"/>
        <v>0</v>
      </c>
      <c r="O221" s="14"/>
      <c r="P221" s="9"/>
    </row>
    <row r="222" spans="1:16" ht="18" thickTop="1" thickBot="1">
      <c r="A222" s="7"/>
      <c r="B222" s="114">
        <f>szkoły!C63</f>
        <v>0</v>
      </c>
      <c r="C222" s="103"/>
      <c r="D222" s="104">
        <f>IF(C222&gt;="",0,IF(C222&gt;=11.61,0,IF(C222&lt;6.91,(200+(6.91-C222)*100),VLOOKUP(-C222,baza!$E:$F,2,1))))</f>
        <v>0</v>
      </c>
      <c r="E222" s="103"/>
      <c r="F222" s="104">
        <f>IF(E222&lt;18,0,IF(E222&gt;104,(200+(E222-104)*4),VLOOKUP(E222,baza!$C$3:$F$202,4,1)))</f>
        <v>0</v>
      </c>
      <c r="G222" s="105"/>
      <c r="H222" s="104">
        <f>IF(G222&lt;baza!$I$202,0,IF(G222&gt;baza!$I$3,(200+(G222-206)*2),VLOOKUP(G222,baza!$I:$J,2,0)))</f>
        <v>0</v>
      </c>
      <c r="I222" s="105"/>
      <c r="J222" s="104">
        <f>IF(I222&lt;210,0,IF(I222&gt;712,(200+I222-712),VLOOKUP(I222,baza!$B$3:$F$202,5,1)))</f>
        <v>0</v>
      </c>
      <c r="K222" s="106"/>
      <c r="L222" s="104">
        <f>IF(K222="",0,IF(K222&gt;(-1*baza!$D$3),0,IF(K222&lt;232.3,INT(200+(232.3-K222)*3),VLOOKUP(-K222,baza!$D$1:$F$203,3,1))))</f>
        <v>0</v>
      </c>
      <c r="M222" s="107">
        <f t="shared" si="60"/>
        <v>0</v>
      </c>
      <c r="N222" s="108">
        <f t="shared" si="61"/>
        <v>0</v>
      </c>
      <c r="O222" s="15">
        <f>SUM(M218:M223)</f>
        <v>0</v>
      </c>
      <c r="P222" s="8" t="s">
        <v>9</v>
      </c>
    </row>
    <row r="223" spans="1:16" ht="18" thickTop="1" thickBot="1">
      <c r="A223" s="7"/>
      <c r="B223" s="114">
        <f>szkoły!C64</f>
        <v>0</v>
      </c>
      <c r="C223" s="103"/>
      <c r="D223" s="104">
        <f>IF(C223&gt;="",0,IF(C223&gt;=11.61,0,IF(C223&lt;6.91,(200+(6.91-C223)*100),VLOOKUP(-C223,baza!$E:$F,2,1))))</f>
        <v>0</v>
      </c>
      <c r="E223" s="103"/>
      <c r="F223" s="104">
        <f>IF(E223&lt;18,0,IF(E223&gt;104,(200+(E223-104)*4),VLOOKUP(E223,baza!$C$3:$F$202,4,1)))</f>
        <v>0</v>
      </c>
      <c r="G223" s="105"/>
      <c r="H223" s="104">
        <f>IF(G223&lt;baza!$I$202,0,IF(G223&gt;baza!$I$3,(200+(G223-206)*2),VLOOKUP(G223,baza!$I:$J,2,0)))</f>
        <v>0</v>
      </c>
      <c r="I223" s="105"/>
      <c r="J223" s="104">
        <f>IF(I223&lt;210,0,IF(I223&gt;712,(200+I223-712),VLOOKUP(I223,baza!$B$3:$F$202,5,1)))</f>
        <v>0</v>
      </c>
      <c r="K223" s="106"/>
      <c r="L223" s="104">
        <f>IF(K223="",0,IF(K223&gt;(-1*baza!$D$3),0,IF(K223&lt;232.3,INT(200+(232.3-K223)*3),VLOOKUP(-K223,baza!$D$1:$F$203,3,1))))</f>
        <v>0</v>
      </c>
      <c r="M223" s="107">
        <f t="shared" si="60"/>
        <v>0</v>
      </c>
      <c r="N223" s="108">
        <f t="shared" si="61"/>
        <v>0</v>
      </c>
      <c r="O223" s="15">
        <f>IF(COUNT(N218:N223)&lt;6,SUM(N218:N223),SUM(N218:N223)-MIN(N218:N223))</f>
        <v>0</v>
      </c>
      <c r="P223" s="8" t="s">
        <v>11</v>
      </c>
    </row>
    <row r="224" spans="1:16" ht="16.5" thickTop="1" thickBot="1">
      <c r="A224" s="13">
        <f>szkoły!D58</f>
        <v>0</v>
      </c>
      <c r="B224" s="113" t="s">
        <v>6</v>
      </c>
      <c r="C224" s="25" t="s">
        <v>3</v>
      </c>
      <c r="D224" s="27" t="s">
        <v>7</v>
      </c>
      <c r="E224" s="28" t="s">
        <v>8</v>
      </c>
      <c r="F224" s="27" t="s">
        <v>7</v>
      </c>
      <c r="G224" s="27" t="s">
        <v>5</v>
      </c>
      <c r="H224" s="27" t="s">
        <v>7</v>
      </c>
      <c r="I224" s="27" t="s">
        <v>0</v>
      </c>
      <c r="J224" s="27" t="s">
        <v>7</v>
      </c>
      <c r="K224" s="29" t="s">
        <v>2</v>
      </c>
      <c r="L224" s="27" t="s">
        <v>7</v>
      </c>
      <c r="M224" s="26" t="s">
        <v>9</v>
      </c>
      <c r="N224" s="26" t="s">
        <v>10</v>
      </c>
      <c r="O224" s="14"/>
      <c r="P224" s="9"/>
    </row>
    <row r="225" spans="1:16" ht="18" thickTop="1" thickBot="1">
      <c r="A225" s="10"/>
      <c r="B225" s="114">
        <f>szkoły!D59</f>
        <v>0</v>
      </c>
      <c r="C225" s="103"/>
      <c r="D225" s="104">
        <f>IF(C225&gt;="",0,IF(C225&gt;=11.61,0,IF(C225&lt;6.91,(200+(6.91-C225)*100),VLOOKUP(-C225,baza!$E:$F,2,1))))</f>
        <v>0</v>
      </c>
      <c r="E225" s="103"/>
      <c r="F225" s="104">
        <f>IF(E225&lt;18,0,IF(E225&gt;104,(200+(E225-104)*4),VLOOKUP(E225,baza!$C$3:$F$202,4,1)))</f>
        <v>0</v>
      </c>
      <c r="G225" s="105"/>
      <c r="H225" s="104">
        <f>IF(G225&lt;baza!$I$202,0,IF(G225&gt;baza!$I$3,(200+(G225-206)*2),VLOOKUP(G225,baza!$I:$J,2,0)))</f>
        <v>0</v>
      </c>
      <c r="I225" s="105"/>
      <c r="J225" s="104">
        <f>IF(I225&lt;210,0,IF(I225&gt;712,(200+I225-712),VLOOKUP(I225,baza!$B$3:$F$202,5,1)))</f>
        <v>0</v>
      </c>
      <c r="K225" s="106"/>
      <c r="L225" s="104">
        <f>IF(K225="",0,IF(K225&gt;(-1*baza!$D$3),0,IF(K225&lt;232.3,INT(200+(232.3-K225)*3),VLOOKUP(-K225,baza!$D$1:$F$203,3,1))))</f>
        <v>0</v>
      </c>
      <c r="M225" s="107">
        <f t="shared" ref="M225:M230" si="62">(D225+F225+H225+J225)</f>
        <v>0</v>
      </c>
      <c r="N225" s="108">
        <f t="shared" ref="N225:N230" si="63">M225+L225</f>
        <v>0</v>
      </c>
      <c r="O225" s="14"/>
      <c r="P225" s="9"/>
    </row>
    <row r="226" spans="1:16" ht="18" thickTop="1" thickBot="1">
      <c r="A226" s="30" t="str">
        <f>O229 &amp;"  " &amp;"I dzień"</f>
        <v>0  I dzień</v>
      </c>
      <c r="B226" s="114">
        <f>szkoły!D60</f>
        <v>0</v>
      </c>
      <c r="C226" s="103"/>
      <c r="D226" s="104">
        <f>IF(C226&gt;="",0,IF(C226&gt;=11.61,0,IF(C226&lt;6.91,(200+(6.91-C226)*100),VLOOKUP(-C226,baza!$E:$F,2,1))))</f>
        <v>0</v>
      </c>
      <c r="E226" s="103"/>
      <c r="F226" s="104">
        <f>IF(E226&lt;18,0,IF(E226&gt;104,(200+(E226-104)*4),VLOOKUP(E226,baza!$C$3:$F$202,4,1)))</f>
        <v>0</v>
      </c>
      <c r="G226" s="105"/>
      <c r="H226" s="104">
        <f>IF(G226&lt;baza!$I$202,0,IF(G226&gt;baza!$I$3,(200+(G226-206)*2),VLOOKUP(G226,baza!$I:$J,2,0)))</f>
        <v>0</v>
      </c>
      <c r="I226" s="105"/>
      <c r="J226" s="104">
        <f>IF(I226&lt;210,0,IF(I226&gt;712,(200+I226-712),VLOOKUP(I226,baza!$B$3:$F$202,5,1)))</f>
        <v>0</v>
      </c>
      <c r="K226" s="106"/>
      <c r="L226" s="104">
        <f>IF(K226="",0,IF(K226&gt;(-1*baza!$D$3),0,IF(K226&lt;232.3,INT(200+(232.3-K226)*3),VLOOKUP(-K226,baza!$D$1:$F$203,3,1))))</f>
        <v>0</v>
      </c>
      <c r="M226" s="107">
        <f t="shared" si="62"/>
        <v>0</v>
      </c>
      <c r="N226" s="108">
        <f t="shared" si="63"/>
        <v>0</v>
      </c>
      <c r="O226" s="14"/>
      <c r="P226" s="9"/>
    </row>
    <row r="227" spans="1:16" ht="18" thickTop="1" thickBot="1">
      <c r="A227" s="30" t="str">
        <f>O230 &amp;"  " &amp;"II dzień"</f>
        <v>0  II dzień</v>
      </c>
      <c r="B227" s="114">
        <f>szkoły!D61</f>
        <v>0</v>
      </c>
      <c r="C227" s="103"/>
      <c r="D227" s="104">
        <f>IF(C227&gt;="",0,IF(C227&gt;=11.61,0,IF(C227&lt;6.91,(200+(6.91-C227)*100),VLOOKUP(-C227,baza!$E:$F,2,1))))</f>
        <v>0</v>
      </c>
      <c r="E227" s="103"/>
      <c r="F227" s="104">
        <f>IF(E227&lt;18,0,IF(E227&gt;104,(200+(E227-104)*4),VLOOKUP(E227,baza!$C$3:$F$202,4,1)))</f>
        <v>0</v>
      </c>
      <c r="G227" s="105"/>
      <c r="H227" s="104">
        <f>IF(G227&lt;baza!$I$202,0,IF(G227&gt;baza!$I$3,(200+(G227-206)*2),VLOOKUP(G227,baza!$I:$J,2,0)))</f>
        <v>0</v>
      </c>
      <c r="I227" s="105"/>
      <c r="J227" s="104">
        <f>IF(I227&lt;210,0,IF(I227&gt;712,(200+I227-712),VLOOKUP(I227,baza!$B$3:$F$202,5,1)))</f>
        <v>0</v>
      </c>
      <c r="K227" s="106"/>
      <c r="L227" s="104">
        <f>IF(K227="",0,IF(K227&gt;(-1*baza!$D$3),0,IF(K227&lt;232.3,INT(200+(232.3-K227)*3),VLOOKUP(-K227,baza!$D$1:$F$203,3,1))))</f>
        <v>0</v>
      </c>
      <c r="M227" s="107">
        <f t="shared" si="62"/>
        <v>0</v>
      </c>
      <c r="N227" s="108">
        <f t="shared" si="63"/>
        <v>0</v>
      </c>
      <c r="O227" s="14"/>
      <c r="P227" s="9"/>
    </row>
    <row r="228" spans="1:16" ht="18" thickTop="1" thickBot="1">
      <c r="A228" s="10"/>
      <c r="B228" s="114">
        <f>szkoły!D62</f>
        <v>0</v>
      </c>
      <c r="C228" s="103"/>
      <c r="D228" s="104">
        <f>IF(C228&gt;="",0,IF(C228&gt;=11.61,0,IF(C228&lt;6.91,(200+(6.91-C228)*100),VLOOKUP(-C228,baza!$E:$F,2,1))))</f>
        <v>0</v>
      </c>
      <c r="E228" s="103"/>
      <c r="F228" s="104">
        <f>IF(E228&lt;18,0,IF(E228&gt;104,(200+(E228-104)*4),VLOOKUP(E228,baza!$C$3:$F$202,4,1)))</f>
        <v>0</v>
      </c>
      <c r="G228" s="105"/>
      <c r="H228" s="104">
        <f>IF(G228&lt;baza!$I$202,0,IF(G228&gt;baza!$I$3,(200+(G228-206)*2),VLOOKUP(G228,baza!$I:$J,2,0)))</f>
        <v>0</v>
      </c>
      <c r="I228" s="105"/>
      <c r="J228" s="104">
        <f>IF(I228&lt;210,0,IF(I228&gt;712,(200+I228-712),VLOOKUP(I228,baza!$B$3:$F$202,5,1)))</f>
        <v>0</v>
      </c>
      <c r="K228" s="106"/>
      <c r="L228" s="104">
        <f>IF(K228="",0,IF(K228&gt;(-1*baza!$D$3),0,IF(K228&lt;232.3,INT(200+(232.3-K228)*3),VLOOKUP(-K228,baza!$D$1:$F$203,3,1))))</f>
        <v>0</v>
      </c>
      <c r="M228" s="107">
        <f t="shared" si="62"/>
        <v>0</v>
      </c>
      <c r="N228" s="108">
        <f t="shared" si="63"/>
        <v>0</v>
      </c>
      <c r="O228" s="14"/>
      <c r="P228" s="9"/>
    </row>
    <row r="229" spans="1:16" ht="18" thickTop="1" thickBot="1">
      <c r="A229" s="10"/>
      <c r="B229" s="114">
        <f>szkoły!D63</f>
        <v>0</v>
      </c>
      <c r="C229" s="103"/>
      <c r="D229" s="104">
        <f>IF(C229&gt;="",0,IF(C229&gt;=11.61,0,IF(C229&lt;6.91,(200+(6.91-C229)*100),VLOOKUP(-C229,baza!$E:$F,2,1))))</f>
        <v>0</v>
      </c>
      <c r="E229" s="103"/>
      <c r="F229" s="104">
        <f>IF(E229&lt;18,0,IF(E229&gt;104,(200+(E229-104)*4),VLOOKUP(E229,baza!$C$3:$F$202,4,1)))</f>
        <v>0</v>
      </c>
      <c r="G229" s="105"/>
      <c r="H229" s="104">
        <f>IF(G229&lt;baza!$I$202,0,IF(G229&gt;baza!$I$3,(200+(G229-206)*2),VLOOKUP(G229,baza!$I:$J,2,0)))</f>
        <v>0</v>
      </c>
      <c r="I229" s="105"/>
      <c r="J229" s="104">
        <f>IF(I229&lt;210,0,IF(I229&gt;712,(200+I229-712),VLOOKUP(I229,baza!$B$3:$F$202,5,1)))</f>
        <v>0</v>
      </c>
      <c r="K229" s="106"/>
      <c r="L229" s="104">
        <f>IF(K229="",0,IF(K229&gt;(-1*baza!$D$3),0,IF(K229&lt;232.3,INT(200+(232.3-K229)*3),VLOOKUP(-K229,baza!$D$1:$F$203,3,1))))</f>
        <v>0</v>
      </c>
      <c r="M229" s="107">
        <f t="shared" si="62"/>
        <v>0</v>
      </c>
      <c r="N229" s="108">
        <f t="shared" si="63"/>
        <v>0</v>
      </c>
      <c r="O229" s="15">
        <f>SUM(M225:M230)</f>
        <v>0</v>
      </c>
      <c r="P229" s="8" t="s">
        <v>9</v>
      </c>
    </row>
    <row r="230" spans="1:16" ht="18" thickTop="1" thickBot="1">
      <c r="A230" s="10"/>
      <c r="B230" s="114">
        <f>szkoły!D64</f>
        <v>0</v>
      </c>
      <c r="C230" s="103"/>
      <c r="D230" s="104">
        <f>IF(C230&gt;="",0,IF(C230&gt;=11.61,0,IF(C230&lt;6.91,(200+(6.91-C230)*100),VLOOKUP(-C230,baza!$E:$F,2,1))))</f>
        <v>0</v>
      </c>
      <c r="E230" s="103"/>
      <c r="F230" s="104">
        <f>IF(E230&lt;18,0,IF(E230&gt;104,(200+(E230-104)*4),VLOOKUP(E230,baza!$C$3:$F$202,4,1)))</f>
        <v>0</v>
      </c>
      <c r="G230" s="105"/>
      <c r="H230" s="104">
        <f>IF(G230&lt;baza!$I$202,0,IF(G230&gt;baza!$I$3,(200+(G230-206)*2),VLOOKUP(G230,baza!$I:$J,2,0)))</f>
        <v>0</v>
      </c>
      <c r="I230" s="105"/>
      <c r="J230" s="104">
        <f>IF(I230&lt;210,0,IF(I230&gt;712,(200+I230-712),VLOOKUP(I230,baza!$B$3:$F$202,5,1)))</f>
        <v>0</v>
      </c>
      <c r="K230" s="106"/>
      <c r="L230" s="104">
        <f>IF(K230="",0,IF(K230&gt;(-1*baza!$D$3),0,IF(K230&lt;232.3,INT(200+(232.3-K230)*3),VLOOKUP(-K230,baza!$D$1:$F$203,3,1))))</f>
        <v>0</v>
      </c>
      <c r="M230" s="107">
        <f t="shared" si="62"/>
        <v>0</v>
      </c>
      <c r="N230" s="108">
        <f t="shared" si="63"/>
        <v>0</v>
      </c>
      <c r="O230" s="15">
        <f>IF(COUNT(N225:N230)&lt;6,SUM(N225:N230),SUM(N225:N230)-MIN(N225:N230))</f>
        <v>0</v>
      </c>
      <c r="P230" s="8" t="s">
        <v>11</v>
      </c>
    </row>
    <row r="231" spans="1:16" ht="16.5" thickTop="1" thickBot="1">
      <c r="A231" s="13">
        <f>szkoły!A66</f>
        <v>0</v>
      </c>
      <c r="B231" s="113" t="s">
        <v>6</v>
      </c>
      <c r="C231" s="25" t="s">
        <v>3</v>
      </c>
      <c r="D231" s="27" t="s">
        <v>7</v>
      </c>
      <c r="E231" s="28" t="s">
        <v>8</v>
      </c>
      <c r="F231" s="27" t="s">
        <v>7</v>
      </c>
      <c r="G231" s="27" t="s">
        <v>5</v>
      </c>
      <c r="H231" s="27" t="s">
        <v>7</v>
      </c>
      <c r="I231" s="27" t="s">
        <v>0</v>
      </c>
      <c r="J231" s="27" t="s">
        <v>7</v>
      </c>
      <c r="K231" s="29" t="s">
        <v>2</v>
      </c>
      <c r="L231" s="27" t="s">
        <v>7</v>
      </c>
      <c r="M231" s="26" t="s">
        <v>9</v>
      </c>
      <c r="N231" s="26" t="s">
        <v>10</v>
      </c>
      <c r="O231" s="14"/>
      <c r="P231" s="9"/>
    </row>
    <row r="232" spans="1:16" ht="18" thickTop="1" thickBot="1">
      <c r="A232" s="7"/>
      <c r="B232" s="114">
        <f>szkoły!A67</f>
        <v>0</v>
      </c>
      <c r="C232" s="103"/>
      <c r="D232" s="104">
        <f>IF(C232&gt;="",0,IF(C232&gt;=11.61,0,IF(C232&lt;6.91,(200+(6.91-C232)*100),VLOOKUP(-C232,baza!$E:$F,2,1))))</f>
        <v>0</v>
      </c>
      <c r="E232" s="103"/>
      <c r="F232" s="104">
        <f>IF(E232&lt;18,0,IF(E232&gt;104,(200+(E232-104)*4),VLOOKUP(E232,baza!$C$3:$F$202,4,1)))</f>
        <v>0</v>
      </c>
      <c r="G232" s="105"/>
      <c r="H232" s="104">
        <f>IF(G232&lt;baza!$I$202,0,IF(G232&gt;baza!$I$3,(200+(G232-206)*2),VLOOKUP(G232,baza!$I:$J,2,0)))</f>
        <v>0</v>
      </c>
      <c r="I232" s="105"/>
      <c r="J232" s="104">
        <f>IF(I232&lt;210,0,IF(I232&gt;712,(200+I232-712),VLOOKUP(I232,baza!$B$3:$F$202,5,1)))</f>
        <v>0</v>
      </c>
      <c r="K232" s="106"/>
      <c r="L232" s="104">
        <f>IF(K232="",0,IF(K232&gt;(-1*baza!$D$3),0,IF(K232&lt;232.3,INT(200+(232.3-K232)*3),VLOOKUP(-K232,baza!$D$1:$F$203,3,1))))</f>
        <v>0</v>
      </c>
      <c r="M232" s="107">
        <f t="shared" ref="M232:M237" si="64">(D232+F232+H232+J232)</f>
        <v>0</v>
      </c>
      <c r="N232" s="108">
        <f t="shared" ref="N232:N237" si="65">M232+L232</f>
        <v>0</v>
      </c>
      <c r="O232" s="14"/>
      <c r="P232" s="9"/>
    </row>
    <row r="233" spans="1:16" ht="18" thickTop="1" thickBot="1">
      <c r="A233" s="30" t="str">
        <f>O236 &amp;"  " &amp;"I dzień"</f>
        <v>0  I dzień</v>
      </c>
      <c r="B233" s="114">
        <f>szkoły!A68</f>
        <v>0</v>
      </c>
      <c r="C233" s="103"/>
      <c r="D233" s="104">
        <f>IF(C233&gt;="",0,IF(C233&gt;=11.61,0,IF(C233&lt;6.91,(200+(6.91-C233)*100),VLOOKUP(-C233,baza!$E:$F,2,1))))</f>
        <v>0</v>
      </c>
      <c r="E233" s="103"/>
      <c r="F233" s="104">
        <f>IF(E233&lt;18,0,IF(E233&gt;104,(200+(E233-104)*4),VLOOKUP(E233,baza!$C$3:$F$202,4,1)))</f>
        <v>0</v>
      </c>
      <c r="G233" s="105"/>
      <c r="H233" s="104">
        <f>IF(G233&lt;baza!$I$202,0,IF(G233&gt;baza!$I$3,(200+(G233-206)*2),VLOOKUP(G233,baza!$I:$J,2,0)))</f>
        <v>0</v>
      </c>
      <c r="I233" s="105"/>
      <c r="J233" s="104">
        <f>IF(I233&lt;210,0,IF(I233&gt;712,(200+I233-712),VLOOKUP(I233,baza!$B$3:$F$202,5,1)))</f>
        <v>0</v>
      </c>
      <c r="K233" s="106"/>
      <c r="L233" s="104">
        <f>IF(K233="",0,IF(K233&gt;(-1*baza!$D$3),0,IF(K233&lt;232.3,INT(200+(232.3-K233)*3),VLOOKUP(-K233,baza!$D$1:$F$203,3,1))))</f>
        <v>0</v>
      </c>
      <c r="M233" s="107">
        <f t="shared" si="64"/>
        <v>0</v>
      </c>
      <c r="N233" s="108">
        <f t="shared" si="65"/>
        <v>0</v>
      </c>
      <c r="O233" s="14"/>
      <c r="P233" s="9"/>
    </row>
    <row r="234" spans="1:16" ht="18" thickTop="1" thickBot="1">
      <c r="A234" s="30" t="str">
        <f>O237 &amp;"  " &amp;"II dzień"</f>
        <v>0  II dzień</v>
      </c>
      <c r="B234" s="114">
        <f>szkoły!A69</f>
        <v>0</v>
      </c>
      <c r="C234" s="103"/>
      <c r="D234" s="104">
        <f>IF(C234&gt;="",0,IF(C234&gt;=11.61,0,IF(C234&lt;6.91,(200+(6.91-C234)*100),VLOOKUP(-C234,baza!$E:$F,2,1))))</f>
        <v>0</v>
      </c>
      <c r="E234" s="103"/>
      <c r="F234" s="104">
        <f>IF(E234&lt;18,0,IF(E234&gt;104,(200+(E234-104)*4),VLOOKUP(E234,baza!$C$3:$F$202,4,1)))</f>
        <v>0</v>
      </c>
      <c r="G234" s="105"/>
      <c r="H234" s="104">
        <f>IF(G234&lt;baza!$I$202,0,IF(G234&gt;baza!$I$3,(200+(G234-206)*2),VLOOKUP(G234,baza!$I:$J,2,0)))</f>
        <v>0</v>
      </c>
      <c r="I234" s="105"/>
      <c r="J234" s="104">
        <f>IF(I234&lt;210,0,IF(I234&gt;712,(200+I234-712),VLOOKUP(I234,baza!$B$3:$F$202,5,1)))</f>
        <v>0</v>
      </c>
      <c r="K234" s="106"/>
      <c r="L234" s="104">
        <f>IF(K234="",0,IF(K234&gt;(-1*baza!$D$3),0,IF(K234&lt;232.3,INT(200+(232.3-K234)*3),VLOOKUP(-K234,baza!$D$1:$F$203,3,1))))</f>
        <v>0</v>
      </c>
      <c r="M234" s="107">
        <f t="shared" si="64"/>
        <v>0</v>
      </c>
      <c r="N234" s="108">
        <f t="shared" si="65"/>
        <v>0</v>
      </c>
      <c r="O234" s="14"/>
      <c r="P234" s="9"/>
    </row>
    <row r="235" spans="1:16" ht="18" thickTop="1" thickBot="1">
      <c r="A235" s="7"/>
      <c r="B235" s="114">
        <f>szkoły!A70</f>
        <v>0</v>
      </c>
      <c r="C235" s="103"/>
      <c r="D235" s="104">
        <f>IF(C235&gt;="",0,IF(C235&gt;=11.61,0,IF(C235&lt;6.91,(200+(6.91-C235)*100),VLOOKUP(-C235,baza!$E:$F,2,1))))</f>
        <v>0</v>
      </c>
      <c r="E235" s="103"/>
      <c r="F235" s="104">
        <f>IF(E235&lt;18,0,IF(E235&gt;104,(200+(E235-104)*4),VLOOKUP(E235,baza!$C$3:$F$202,4,1)))</f>
        <v>0</v>
      </c>
      <c r="G235" s="105"/>
      <c r="H235" s="104">
        <f>IF(G235&lt;baza!$I$202,0,IF(G235&gt;baza!$I$3,(200+(G235-206)*2),VLOOKUP(G235,baza!$I:$J,2,0)))</f>
        <v>0</v>
      </c>
      <c r="I235" s="105"/>
      <c r="J235" s="104">
        <f>IF(I235&lt;210,0,IF(I235&gt;712,(200+I235-712),VLOOKUP(I235,baza!$B$3:$F$202,5,1)))</f>
        <v>0</v>
      </c>
      <c r="K235" s="106"/>
      <c r="L235" s="104">
        <f>IF(K235="",0,IF(K235&gt;(-1*baza!$D$3),0,IF(K235&lt;232.3,INT(200+(232.3-K235)*3),VLOOKUP(-K235,baza!$D$1:$F$203,3,1))))</f>
        <v>0</v>
      </c>
      <c r="M235" s="107">
        <f t="shared" si="64"/>
        <v>0</v>
      </c>
      <c r="N235" s="108">
        <f t="shared" si="65"/>
        <v>0</v>
      </c>
      <c r="O235" s="14"/>
      <c r="P235" s="9"/>
    </row>
    <row r="236" spans="1:16" ht="18" thickTop="1" thickBot="1">
      <c r="A236" s="7"/>
      <c r="B236" s="114">
        <f>szkoły!A71</f>
        <v>0</v>
      </c>
      <c r="C236" s="103"/>
      <c r="D236" s="104">
        <f>IF(C236&gt;="",0,IF(C236&gt;=11.61,0,IF(C236&lt;6.91,(200+(6.91-C236)*100),VLOOKUP(-C236,baza!$E:$F,2,1))))</f>
        <v>0</v>
      </c>
      <c r="E236" s="103"/>
      <c r="F236" s="104">
        <f>IF(E236&lt;18,0,IF(E236&gt;104,(200+(E236-104)*4),VLOOKUP(E236,baza!$C$3:$F$202,4,1)))</f>
        <v>0</v>
      </c>
      <c r="G236" s="105"/>
      <c r="H236" s="104">
        <f>IF(G236&lt;baza!$I$202,0,IF(G236&gt;baza!$I$3,(200+(G236-206)*2),VLOOKUP(G236,baza!$I:$J,2,0)))</f>
        <v>0</v>
      </c>
      <c r="I236" s="105"/>
      <c r="J236" s="104">
        <f>IF(I236&lt;210,0,IF(I236&gt;712,(200+I236-712),VLOOKUP(I236,baza!$B$3:$F$202,5,1)))</f>
        <v>0</v>
      </c>
      <c r="K236" s="106"/>
      <c r="L236" s="104">
        <f>IF(K236="",0,IF(K236&gt;(-1*baza!$D$3),0,IF(K236&lt;232.3,INT(200+(232.3-K236)*3),VLOOKUP(-K236,baza!$D$1:$F$203,3,1))))</f>
        <v>0</v>
      </c>
      <c r="M236" s="107">
        <f t="shared" si="64"/>
        <v>0</v>
      </c>
      <c r="N236" s="108">
        <f t="shared" si="65"/>
        <v>0</v>
      </c>
      <c r="O236" s="15">
        <f>SUM(M232:M237)</f>
        <v>0</v>
      </c>
      <c r="P236" s="8" t="s">
        <v>9</v>
      </c>
    </row>
    <row r="237" spans="1:16" ht="18" thickTop="1" thickBot="1">
      <c r="A237" s="7"/>
      <c r="B237" s="114">
        <f>szkoły!A72</f>
        <v>0</v>
      </c>
      <c r="C237" s="103"/>
      <c r="D237" s="104">
        <f>IF(C237&gt;="",0,IF(C237&gt;=11.61,0,IF(C237&lt;6.91,(200+(6.91-C237)*100),VLOOKUP(-C237,baza!$E:$F,2,1))))</f>
        <v>0</v>
      </c>
      <c r="E237" s="103"/>
      <c r="F237" s="104">
        <f>IF(E237&lt;18,0,IF(E237&gt;104,(200+(E237-104)*4),VLOOKUP(E237,baza!$C$3:$F$202,4,1)))</f>
        <v>0</v>
      </c>
      <c r="G237" s="105"/>
      <c r="H237" s="104">
        <f>IF(G237&lt;baza!$I$202,0,IF(G237&gt;baza!$I$3,(200+(G237-206)*2),VLOOKUP(G237,baza!$I:$J,2,0)))</f>
        <v>0</v>
      </c>
      <c r="I237" s="105"/>
      <c r="J237" s="104">
        <f>IF(I237&lt;210,0,IF(I237&gt;712,(200+I237-712),VLOOKUP(I237,baza!$B$3:$F$202,5,1)))</f>
        <v>0</v>
      </c>
      <c r="K237" s="106"/>
      <c r="L237" s="104">
        <f>IF(K237="",0,IF(K237&gt;(-1*baza!$D$3),0,IF(K237&lt;232.3,INT(200+(232.3-K237)*3),VLOOKUP(-K237,baza!$D$1:$F$203,3,1))))</f>
        <v>0</v>
      </c>
      <c r="M237" s="107">
        <f t="shared" si="64"/>
        <v>0</v>
      </c>
      <c r="N237" s="108">
        <f t="shared" si="65"/>
        <v>0</v>
      </c>
      <c r="O237" s="15">
        <f>IF(COUNT(N232:N237)&lt;6,SUM(N232:N237),SUM(N232:N237)-MIN(N232:N237))</f>
        <v>0</v>
      </c>
      <c r="P237" s="8" t="s">
        <v>11</v>
      </c>
    </row>
    <row r="238" spans="1:16" ht="16.5" thickTop="1" thickBot="1">
      <c r="A238" s="13">
        <f>szkoły!B66</f>
        <v>0</v>
      </c>
      <c r="B238" s="113" t="s">
        <v>6</v>
      </c>
      <c r="C238" s="25" t="s">
        <v>3</v>
      </c>
      <c r="D238" s="27" t="s">
        <v>7</v>
      </c>
      <c r="E238" s="28" t="s">
        <v>8</v>
      </c>
      <c r="F238" s="27" t="s">
        <v>7</v>
      </c>
      <c r="G238" s="27" t="s">
        <v>5</v>
      </c>
      <c r="H238" s="27" t="s">
        <v>7</v>
      </c>
      <c r="I238" s="27" t="s">
        <v>0</v>
      </c>
      <c r="J238" s="27" t="s">
        <v>7</v>
      </c>
      <c r="K238" s="29" t="s">
        <v>2</v>
      </c>
      <c r="L238" s="27" t="s">
        <v>7</v>
      </c>
      <c r="M238" s="26" t="s">
        <v>9</v>
      </c>
      <c r="N238" s="26" t="s">
        <v>10</v>
      </c>
      <c r="O238" s="14"/>
      <c r="P238" s="9"/>
    </row>
    <row r="239" spans="1:16" ht="18" thickTop="1" thickBot="1">
      <c r="A239" s="10"/>
      <c r="B239" s="114">
        <f>szkoły!B67</f>
        <v>0</v>
      </c>
      <c r="C239" s="103"/>
      <c r="D239" s="104">
        <f>IF(C239&gt;="",0,IF(C239&gt;=11.61,0,IF(C239&lt;6.91,(200+(6.91-C239)*100),VLOOKUP(-C239,baza!$E:$F,2,1))))</f>
        <v>0</v>
      </c>
      <c r="E239" s="103"/>
      <c r="F239" s="104">
        <f>IF(E239&lt;18,0,IF(E239&gt;104,(200+(E239-104)*4),VLOOKUP(E239,baza!$C$3:$F$202,4,1)))</f>
        <v>0</v>
      </c>
      <c r="G239" s="105"/>
      <c r="H239" s="104">
        <f>IF(G239&lt;baza!$I$202,0,IF(G239&gt;baza!$I$3,(200+(G239-206)*2),VLOOKUP(G239,baza!$I:$J,2,0)))</f>
        <v>0</v>
      </c>
      <c r="I239" s="105"/>
      <c r="J239" s="104">
        <f>IF(I239&lt;210,0,IF(I239&gt;712,(200+I239-712),VLOOKUP(I239,baza!$B$3:$F$202,5,1)))</f>
        <v>0</v>
      </c>
      <c r="K239" s="106"/>
      <c r="L239" s="104">
        <f>IF(K239="",0,IF(K239&gt;(-1*baza!$D$3),0,IF(K239&lt;232.3,INT(200+(232.3-K239)*3),VLOOKUP(-K239,baza!$D$1:$F$203,3,1))))</f>
        <v>0</v>
      </c>
      <c r="M239" s="107">
        <f t="shared" ref="M239:M244" si="66">(D239+F239+H239+J239)</f>
        <v>0</v>
      </c>
      <c r="N239" s="108">
        <f t="shared" ref="N239:N244" si="67">M239+L239</f>
        <v>0</v>
      </c>
      <c r="O239" s="14"/>
      <c r="P239" s="9"/>
    </row>
    <row r="240" spans="1:16" ht="18" thickTop="1" thickBot="1">
      <c r="A240" s="30" t="str">
        <f>O243 &amp;"  " &amp;"I dzień"</f>
        <v>0  I dzień</v>
      </c>
      <c r="B240" s="114">
        <f>szkoły!B68</f>
        <v>0</v>
      </c>
      <c r="C240" s="103"/>
      <c r="D240" s="104">
        <f>IF(C240&gt;="",0,IF(C240&gt;=11.61,0,IF(C240&lt;6.91,(200+(6.91-C240)*100),VLOOKUP(-C240,baza!$E:$F,2,1))))</f>
        <v>0</v>
      </c>
      <c r="E240" s="103"/>
      <c r="F240" s="104">
        <f>IF(E240&lt;18,0,IF(E240&gt;104,(200+(E240-104)*4),VLOOKUP(E240,baza!$C$3:$F$202,4,1)))</f>
        <v>0</v>
      </c>
      <c r="G240" s="105"/>
      <c r="H240" s="104">
        <f>IF(G240&lt;baza!$I$202,0,IF(G240&gt;baza!$I$3,(200+(G240-206)*2),VLOOKUP(G240,baza!$I:$J,2,0)))</f>
        <v>0</v>
      </c>
      <c r="I240" s="105"/>
      <c r="J240" s="104">
        <f>IF(I240&lt;210,0,IF(I240&gt;712,(200+I240-712),VLOOKUP(I240,baza!$B$3:$F$202,5,1)))</f>
        <v>0</v>
      </c>
      <c r="K240" s="106"/>
      <c r="L240" s="104">
        <f>IF(K240="",0,IF(K240&gt;(-1*baza!$D$3),0,IF(K240&lt;232.3,INT(200+(232.3-K240)*3),VLOOKUP(-K240,baza!$D$1:$F$203,3,1))))</f>
        <v>0</v>
      </c>
      <c r="M240" s="107">
        <f t="shared" si="66"/>
        <v>0</v>
      </c>
      <c r="N240" s="108">
        <f t="shared" si="67"/>
        <v>0</v>
      </c>
      <c r="O240" s="14"/>
      <c r="P240" s="9"/>
    </row>
    <row r="241" spans="1:16" ht="18" thickTop="1" thickBot="1">
      <c r="A241" s="30" t="str">
        <f>O244 &amp;"  " &amp;"II dzień"</f>
        <v>0  II dzień</v>
      </c>
      <c r="B241" s="114">
        <f>szkoły!B69</f>
        <v>0</v>
      </c>
      <c r="C241" s="103"/>
      <c r="D241" s="104">
        <f>IF(C241&gt;="",0,IF(C241&gt;=11.61,0,IF(C241&lt;6.91,(200+(6.91-C241)*100),VLOOKUP(-C241,baza!$E:$F,2,1))))</f>
        <v>0</v>
      </c>
      <c r="E241" s="103"/>
      <c r="F241" s="104">
        <f>IF(E241&lt;18,0,IF(E241&gt;104,(200+(E241-104)*4),VLOOKUP(E241,baza!$C$3:$F$202,4,1)))</f>
        <v>0</v>
      </c>
      <c r="G241" s="105"/>
      <c r="H241" s="104">
        <f>IF(G241&lt;baza!$I$202,0,IF(G241&gt;baza!$I$3,(200+(G241-206)*2),VLOOKUP(G241,baza!$I:$J,2,0)))</f>
        <v>0</v>
      </c>
      <c r="I241" s="105"/>
      <c r="J241" s="104">
        <f>IF(I241&lt;210,0,IF(I241&gt;712,(200+I241-712),VLOOKUP(I241,baza!$B$3:$F$202,5,1)))</f>
        <v>0</v>
      </c>
      <c r="K241" s="106"/>
      <c r="L241" s="104">
        <f>IF(K241="",0,IF(K241&gt;(-1*baza!$D$3),0,IF(K241&lt;232.3,INT(200+(232.3-K241)*3),VLOOKUP(-K241,baza!$D$1:$F$203,3,1))))</f>
        <v>0</v>
      </c>
      <c r="M241" s="107">
        <f t="shared" si="66"/>
        <v>0</v>
      </c>
      <c r="N241" s="108">
        <f t="shared" si="67"/>
        <v>0</v>
      </c>
      <c r="O241" s="14"/>
      <c r="P241" s="9"/>
    </row>
    <row r="242" spans="1:16" ht="18" thickTop="1" thickBot="1">
      <c r="A242" s="10"/>
      <c r="B242" s="114">
        <f>szkoły!B70</f>
        <v>0</v>
      </c>
      <c r="C242" s="103"/>
      <c r="D242" s="104">
        <f>IF(C242&gt;="",0,IF(C242&gt;=11.61,0,IF(C242&lt;6.91,(200+(6.91-C242)*100),VLOOKUP(-C242,baza!$E:$F,2,1))))</f>
        <v>0</v>
      </c>
      <c r="E242" s="103"/>
      <c r="F242" s="104">
        <f>IF(E242&lt;18,0,IF(E242&gt;104,(200+(E242-104)*4),VLOOKUP(E242,baza!$C$3:$F$202,4,1)))</f>
        <v>0</v>
      </c>
      <c r="G242" s="105"/>
      <c r="H242" s="104">
        <f>IF(G242&lt;baza!$I$202,0,IF(G242&gt;baza!$I$3,(200+(G242-206)*2),VLOOKUP(G242,baza!$I:$J,2,0)))</f>
        <v>0</v>
      </c>
      <c r="I242" s="105"/>
      <c r="J242" s="104">
        <f>IF(I242&lt;210,0,IF(I242&gt;712,(200+I242-712),VLOOKUP(I242,baza!$B$3:$F$202,5,1)))</f>
        <v>0</v>
      </c>
      <c r="K242" s="106"/>
      <c r="L242" s="104">
        <f>IF(K242="",0,IF(K242&gt;(-1*baza!$D$3),0,IF(K242&lt;232.3,INT(200+(232.3-K242)*3),VLOOKUP(-K242,baza!$D$1:$F$203,3,1))))</f>
        <v>0</v>
      </c>
      <c r="M242" s="107">
        <f t="shared" si="66"/>
        <v>0</v>
      </c>
      <c r="N242" s="108">
        <f t="shared" si="67"/>
        <v>0</v>
      </c>
      <c r="O242" s="14"/>
      <c r="P242" s="9"/>
    </row>
    <row r="243" spans="1:16" ht="18" thickTop="1" thickBot="1">
      <c r="A243" s="10"/>
      <c r="B243" s="114">
        <f>szkoły!B71</f>
        <v>0</v>
      </c>
      <c r="C243" s="103"/>
      <c r="D243" s="104">
        <f>IF(C243&gt;="",0,IF(C243&gt;=11.61,0,IF(C243&lt;6.91,(200+(6.91-C243)*100),VLOOKUP(-C243,baza!$E:$F,2,1))))</f>
        <v>0</v>
      </c>
      <c r="E243" s="103"/>
      <c r="F243" s="104">
        <f>IF(E243&lt;18,0,IF(E243&gt;104,(200+(E243-104)*4),VLOOKUP(E243,baza!$C$3:$F$202,4,1)))</f>
        <v>0</v>
      </c>
      <c r="G243" s="105"/>
      <c r="H243" s="104">
        <f>IF(G243&lt;baza!$I$202,0,IF(G243&gt;baza!$I$3,(200+(G243-206)*2),VLOOKUP(G243,baza!$I:$J,2,0)))</f>
        <v>0</v>
      </c>
      <c r="I243" s="105"/>
      <c r="J243" s="104">
        <f>IF(I243&lt;210,0,IF(I243&gt;712,(200+I243-712),VLOOKUP(I243,baza!$B$3:$F$202,5,1)))</f>
        <v>0</v>
      </c>
      <c r="K243" s="106"/>
      <c r="L243" s="104">
        <f>IF(K243="",0,IF(K243&gt;(-1*baza!$D$3),0,IF(K243&lt;232.3,INT(200+(232.3-K243)*3),VLOOKUP(-K243,baza!$D$1:$F$203,3,1))))</f>
        <v>0</v>
      </c>
      <c r="M243" s="107">
        <f t="shared" si="66"/>
        <v>0</v>
      </c>
      <c r="N243" s="108">
        <f t="shared" si="67"/>
        <v>0</v>
      </c>
      <c r="O243" s="15">
        <f>SUM(M239:M244)</f>
        <v>0</v>
      </c>
      <c r="P243" s="8" t="s">
        <v>9</v>
      </c>
    </row>
    <row r="244" spans="1:16" ht="18" thickTop="1" thickBot="1">
      <c r="A244" s="10"/>
      <c r="B244" s="114">
        <f>szkoły!B72</f>
        <v>0</v>
      </c>
      <c r="C244" s="103"/>
      <c r="D244" s="104">
        <f>IF(C244&gt;="",0,IF(C244&gt;=11.61,0,IF(C244&lt;6.91,(200+(6.91-C244)*100),VLOOKUP(-C244,baza!$E:$F,2,1))))</f>
        <v>0</v>
      </c>
      <c r="E244" s="103"/>
      <c r="F244" s="104">
        <f>IF(E244&lt;18,0,IF(E244&gt;104,(200+(E244-104)*4),VLOOKUP(E244,baza!$C$3:$F$202,4,1)))</f>
        <v>0</v>
      </c>
      <c r="G244" s="105"/>
      <c r="H244" s="104">
        <f>IF(G244&lt;baza!$I$202,0,IF(G244&gt;baza!$I$3,(200+(G244-206)*2),VLOOKUP(G244,baza!$I:$J,2,0)))</f>
        <v>0</v>
      </c>
      <c r="I244" s="105"/>
      <c r="J244" s="104">
        <f>IF(I244&lt;210,0,IF(I244&gt;712,(200+I244-712),VLOOKUP(I244,baza!$B$3:$F$202,5,1)))</f>
        <v>0</v>
      </c>
      <c r="K244" s="106"/>
      <c r="L244" s="104">
        <f>IF(K244="",0,IF(K244&gt;(-1*baza!$D$3),0,IF(K244&lt;232.3,INT(200+(232.3-K244)*3),VLOOKUP(-K244,baza!$D$1:$F$203,3,1))))</f>
        <v>0</v>
      </c>
      <c r="M244" s="107">
        <f t="shared" si="66"/>
        <v>0</v>
      </c>
      <c r="N244" s="108">
        <f t="shared" si="67"/>
        <v>0</v>
      </c>
      <c r="O244" s="15">
        <f>IF(COUNT(N239:N244)&lt;6,SUM(N239:N244),SUM(N239:N244)-MIN(N239:N244))</f>
        <v>0</v>
      </c>
      <c r="P244" s="8" t="s">
        <v>11</v>
      </c>
    </row>
    <row r="245" spans="1:16" ht="16.5" thickTop="1" thickBot="1">
      <c r="A245" s="13">
        <f>szkoły!C66</f>
        <v>0</v>
      </c>
      <c r="B245" s="113" t="s">
        <v>6</v>
      </c>
      <c r="C245" s="25" t="s">
        <v>3</v>
      </c>
      <c r="D245" s="27" t="s">
        <v>7</v>
      </c>
      <c r="E245" s="28" t="s">
        <v>8</v>
      </c>
      <c r="F245" s="27" t="s">
        <v>7</v>
      </c>
      <c r="G245" s="27" t="s">
        <v>5</v>
      </c>
      <c r="H245" s="27" t="s">
        <v>7</v>
      </c>
      <c r="I245" s="27" t="s">
        <v>0</v>
      </c>
      <c r="J245" s="27" t="s">
        <v>7</v>
      </c>
      <c r="K245" s="29" t="s">
        <v>2</v>
      </c>
      <c r="L245" s="27" t="s">
        <v>7</v>
      </c>
      <c r="M245" s="26" t="s">
        <v>9</v>
      </c>
      <c r="N245" s="26" t="s">
        <v>10</v>
      </c>
      <c r="O245" s="14"/>
      <c r="P245" s="9"/>
    </row>
    <row r="246" spans="1:16" ht="18" thickTop="1" thickBot="1">
      <c r="A246" s="7"/>
      <c r="B246" s="114">
        <f>szkoły!C67</f>
        <v>0</v>
      </c>
      <c r="C246" s="103"/>
      <c r="D246" s="104">
        <f>IF(C246&gt;="",0,IF(C246&gt;=11.61,0,IF(C246&lt;6.91,(200+(6.91-C246)*100),VLOOKUP(-C246,baza!$E:$F,2,1))))</f>
        <v>0</v>
      </c>
      <c r="E246" s="103"/>
      <c r="F246" s="104">
        <f>IF(E246&lt;18,0,IF(E246&gt;104,(200+(E246-104)*4),VLOOKUP(E246,baza!$C$3:$F$202,4,1)))</f>
        <v>0</v>
      </c>
      <c r="G246" s="105"/>
      <c r="H246" s="104">
        <f>IF(G246&lt;baza!$I$202,0,IF(G246&gt;baza!$I$3,(200+(G246-206)*2),VLOOKUP(G246,baza!$I:$J,2,0)))</f>
        <v>0</v>
      </c>
      <c r="I246" s="105"/>
      <c r="J246" s="104">
        <f>IF(I246&lt;210,0,IF(I246&gt;712,(200+I246-712),VLOOKUP(I246,baza!$B$3:$F$202,5,1)))</f>
        <v>0</v>
      </c>
      <c r="K246" s="106"/>
      <c r="L246" s="104">
        <f>IF(K246="",0,IF(K246&gt;(-1*baza!$D$3),0,IF(K246&lt;232.3,INT(200+(232.3-K246)*3),VLOOKUP(-K246,baza!$D$1:$F$203,3,1))))</f>
        <v>0</v>
      </c>
      <c r="M246" s="107">
        <f t="shared" ref="M246:M251" si="68">(D246+F246+H246+J246)</f>
        <v>0</v>
      </c>
      <c r="N246" s="108">
        <f t="shared" ref="N246:N251" si="69">M246+L246</f>
        <v>0</v>
      </c>
      <c r="O246" s="14"/>
      <c r="P246" s="9"/>
    </row>
    <row r="247" spans="1:16" ht="18" thickTop="1" thickBot="1">
      <c r="A247" s="30" t="str">
        <f>O250 &amp;"  " &amp;"I dzień"</f>
        <v>0  I dzień</v>
      </c>
      <c r="B247" s="114">
        <f>szkoły!C68</f>
        <v>0</v>
      </c>
      <c r="C247" s="103"/>
      <c r="D247" s="104">
        <f>IF(C247&gt;="",0,IF(C247&gt;=11.61,0,IF(C247&lt;6.91,(200+(6.91-C247)*100),VLOOKUP(-C247,baza!$E:$F,2,1))))</f>
        <v>0</v>
      </c>
      <c r="E247" s="103"/>
      <c r="F247" s="104">
        <f>IF(E247&lt;18,0,IF(E247&gt;104,(200+(E247-104)*4),VLOOKUP(E247,baza!$C$3:$F$202,4,1)))</f>
        <v>0</v>
      </c>
      <c r="G247" s="105"/>
      <c r="H247" s="104">
        <f>IF(G247&lt;baza!$I$202,0,IF(G247&gt;baza!$I$3,(200+(G247-206)*2),VLOOKUP(G247,baza!$I:$J,2,0)))</f>
        <v>0</v>
      </c>
      <c r="I247" s="105"/>
      <c r="J247" s="104">
        <f>IF(I247&lt;210,0,IF(I247&gt;712,(200+I247-712),VLOOKUP(I247,baza!$B$3:$F$202,5,1)))</f>
        <v>0</v>
      </c>
      <c r="K247" s="106"/>
      <c r="L247" s="104">
        <f>IF(K247="",0,IF(K247&gt;(-1*baza!$D$3),0,IF(K247&lt;232.3,INT(200+(232.3-K247)*3),VLOOKUP(-K247,baza!$D$1:$F$203,3,1))))</f>
        <v>0</v>
      </c>
      <c r="M247" s="107">
        <f t="shared" si="68"/>
        <v>0</v>
      </c>
      <c r="N247" s="108">
        <f t="shared" si="69"/>
        <v>0</v>
      </c>
      <c r="O247" s="14"/>
      <c r="P247" s="9"/>
    </row>
    <row r="248" spans="1:16" ht="18" thickTop="1" thickBot="1">
      <c r="A248" s="30" t="str">
        <f>O251 &amp;"  " &amp;"II dzień"</f>
        <v>0  II dzień</v>
      </c>
      <c r="B248" s="114">
        <f>szkoły!C69</f>
        <v>0</v>
      </c>
      <c r="C248" s="103"/>
      <c r="D248" s="104">
        <f>IF(C248&gt;="",0,IF(C248&gt;=11.61,0,IF(C248&lt;6.91,(200+(6.91-C248)*100),VLOOKUP(-C248,baza!$E:$F,2,1))))</f>
        <v>0</v>
      </c>
      <c r="E248" s="103"/>
      <c r="F248" s="104">
        <f>IF(E248&lt;18,0,IF(E248&gt;104,(200+(E248-104)*4),VLOOKUP(E248,baza!$C$3:$F$202,4,1)))</f>
        <v>0</v>
      </c>
      <c r="G248" s="105"/>
      <c r="H248" s="104">
        <f>IF(G248&lt;baza!$I$202,0,IF(G248&gt;baza!$I$3,(200+(G248-206)*2),VLOOKUP(G248,baza!$I:$J,2,0)))</f>
        <v>0</v>
      </c>
      <c r="I248" s="105"/>
      <c r="J248" s="104">
        <f>IF(I248&lt;210,0,IF(I248&gt;712,(200+I248-712),VLOOKUP(I248,baza!$B$3:$F$202,5,1)))</f>
        <v>0</v>
      </c>
      <c r="K248" s="106"/>
      <c r="L248" s="104">
        <f>IF(K248="",0,IF(K248&gt;(-1*baza!$D$3),0,IF(K248&lt;232.3,INT(200+(232.3-K248)*3),VLOOKUP(-K248,baza!$D$1:$F$203,3,1))))</f>
        <v>0</v>
      </c>
      <c r="M248" s="107">
        <f t="shared" si="68"/>
        <v>0</v>
      </c>
      <c r="N248" s="108">
        <f t="shared" si="69"/>
        <v>0</v>
      </c>
      <c r="O248" s="14"/>
      <c r="P248" s="9"/>
    </row>
    <row r="249" spans="1:16" ht="18" thickTop="1" thickBot="1">
      <c r="A249" s="7"/>
      <c r="B249" s="114">
        <f>szkoły!C70</f>
        <v>0</v>
      </c>
      <c r="C249" s="103"/>
      <c r="D249" s="104">
        <f>IF(C249&gt;="",0,IF(C249&gt;=11.61,0,IF(C249&lt;6.91,(200+(6.91-C249)*100),VLOOKUP(-C249,baza!$E:$F,2,1))))</f>
        <v>0</v>
      </c>
      <c r="E249" s="103"/>
      <c r="F249" s="104">
        <f>IF(E249&lt;18,0,IF(E249&gt;104,(200+(E249-104)*4),VLOOKUP(E249,baza!$C$3:$F$202,4,1)))</f>
        <v>0</v>
      </c>
      <c r="G249" s="105"/>
      <c r="H249" s="104">
        <f>IF(G249&lt;baza!$I$202,0,IF(G249&gt;baza!$I$3,(200+(G249-206)*2),VLOOKUP(G249,baza!$I:$J,2,0)))</f>
        <v>0</v>
      </c>
      <c r="I249" s="105"/>
      <c r="J249" s="104">
        <f>IF(I249&lt;210,0,IF(I249&gt;712,(200+I249-712),VLOOKUP(I249,baza!$B$3:$F$202,5,1)))</f>
        <v>0</v>
      </c>
      <c r="K249" s="106"/>
      <c r="L249" s="104">
        <f>IF(K249="",0,IF(K249&gt;(-1*baza!$D$3),0,IF(K249&lt;232.3,INT(200+(232.3-K249)*3),VLOOKUP(-K249,baza!$D$1:$F$203,3,1))))</f>
        <v>0</v>
      </c>
      <c r="M249" s="107">
        <f t="shared" si="68"/>
        <v>0</v>
      </c>
      <c r="N249" s="108">
        <f t="shared" si="69"/>
        <v>0</v>
      </c>
      <c r="O249" s="14"/>
      <c r="P249" s="9"/>
    </row>
    <row r="250" spans="1:16" ht="18" thickTop="1" thickBot="1">
      <c r="A250" s="7"/>
      <c r="B250" s="114">
        <f>szkoły!C71</f>
        <v>0</v>
      </c>
      <c r="C250" s="103"/>
      <c r="D250" s="104">
        <f>IF(C250&gt;="",0,IF(C250&gt;=11.61,0,IF(C250&lt;6.91,(200+(6.91-C250)*100),VLOOKUP(-C250,baza!$E:$F,2,1))))</f>
        <v>0</v>
      </c>
      <c r="E250" s="103"/>
      <c r="F250" s="104">
        <f>IF(E250&lt;18,0,IF(E250&gt;104,(200+(E250-104)*4),VLOOKUP(E250,baza!$C$3:$F$202,4,1)))</f>
        <v>0</v>
      </c>
      <c r="G250" s="105"/>
      <c r="H250" s="104">
        <f>IF(G250&lt;baza!$I$202,0,IF(G250&gt;baza!$I$3,(200+(G250-206)*2),VLOOKUP(G250,baza!$I:$J,2,0)))</f>
        <v>0</v>
      </c>
      <c r="I250" s="105"/>
      <c r="J250" s="104">
        <f>IF(I250&lt;210,0,IF(I250&gt;712,(200+I250-712),VLOOKUP(I250,baza!$B$3:$F$202,5,1)))</f>
        <v>0</v>
      </c>
      <c r="K250" s="106"/>
      <c r="L250" s="104">
        <f>IF(K250="",0,IF(K250&gt;(-1*baza!$D$3),0,IF(K250&lt;232.3,INT(200+(232.3-K250)*3),VLOOKUP(-K250,baza!$D$1:$F$203,3,1))))</f>
        <v>0</v>
      </c>
      <c r="M250" s="107">
        <f t="shared" si="68"/>
        <v>0</v>
      </c>
      <c r="N250" s="108">
        <f t="shared" si="69"/>
        <v>0</v>
      </c>
      <c r="O250" s="15">
        <f>SUM(M246:M251)</f>
        <v>0</v>
      </c>
      <c r="P250" s="8" t="s">
        <v>9</v>
      </c>
    </row>
    <row r="251" spans="1:16" ht="18" thickTop="1" thickBot="1">
      <c r="A251" s="7"/>
      <c r="B251" s="114">
        <f>szkoły!C72</f>
        <v>0</v>
      </c>
      <c r="C251" s="103"/>
      <c r="D251" s="104">
        <f>IF(C251&gt;="",0,IF(C251&gt;=11.61,0,IF(C251&lt;6.91,(200+(6.91-C251)*100),VLOOKUP(-C251,baza!$E:$F,2,1))))</f>
        <v>0</v>
      </c>
      <c r="E251" s="103"/>
      <c r="F251" s="104">
        <f>IF(E251&lt;18,0,IF(E251&gt;104,(200+(E251-104)*4),VLOOKUP(E251,baza!$C$3:$F$202,4,1)))</f>
        <v>0</v>
      </c>
      <c r="G251" s="105"/>
      <c r="H251" s="104">
        <f>IF(G251&lt;baza!$I$202,0,IF(G251&gt;baza!$I$3,(200+(G251-206)*2),VLOOKUP(G251,baza!$I:$J,2,0)))</f>
        <v>0</v>
      </c>
      <c r="I251" s="105"/>
      <c r="J251" s="104">
        <f>IF(I251&lt;210,0,IF(I251&gt;712,(200+I251-712),VLOOKUP(I251,baza!$B$3:$F$202,5,1)))</f>
        <v>0</v>
      </c>
      <c r="K251" s="106"/>
      <c r="L251" s="104">
        <f>IF(K251="",0,IF(K251&gt;(-1*baza!$D$3),0,IF(K251&lt;232.3,INT(200+(232.3-K251)*3),VLOOKUP(-K251,baza!$D$1:$F$203,3,1))))</f>
        <v>0</v>
      </c>
      <c r="M251" s="107">
        <f t="shared" si="68"/>
        <v>0</v>
      </c>
      <c r="N251" s="108">
        <f t="shared" si="69"/>
        <v>0</v>
      </c>
      <c r="O251" s="15">
        <f>IF(COUNT(N246:N251)&lt;6,SUM(N246:N251),SUM(N246:N251)-MIN(N246:N251))</f>
        <v>0</v>
      </c>
      <c r="P251" s="8" t="s">
        <v>11</v>
      </c>
    </row>
    <row r="252" spans="1:16" ht="16.5" thickTop="1" thickBot="1">
      <c r="A252" s="13">
        <f>szkoły!D66</f>
        <v>0</v>
      </c>
      <c r="B252" s="113" t="s">
        <v>6</v>
      </c>
      <c r="C252" s="25" t="s">
        <v>3</v>
      </c>
      <c r="D252" s="27" t="s">
        <v>7</v>
      </c>
      <c r="E252" s="28" t="s">
        <v>8</v>
      </c>
      <c r="F252" s="27" t="s">
        <v>7</v>
      </c>
      <c r="G252" s="27" t="s">
        <v>5</v>
      </c>
      <c r="H252" s="27" t="s">
        <v>7</v>
      </c>
      <c r="I252" s="27" t="s">
        <v>0</v>
      </c>
      <c r="J252" s="27" t="s">
        <v>7</v>
      </c>
      <c r="K252" s="29" t="s">
        <v>2</v>
      </c>
      <c r="L252" s="27" t="s">
        <v>7</v>
      </c>
      <c r="M252" s="26" t="s">
        <v>9</v>
      </c>
      <c r="N252" s="26" t="s">
        <v>10</v>
      </c>
      <c r="O252" s="14"/>
      <c r="P252" s="9"/>
    </row>
    <row r="253" spans="1:16" ht="18" thickTop="1" thickBot="1">
      <c r="A253" s="10"/>
      <c r="B253" s="114">
        <f>szkoły!D67</f>
        <v>0</v>
      </c>
      <c r="C253" s="103"/>
      <c r="D253" s="104">
        <f>IF(C253&gt;="",0,IF(C253&gt;=11.61,0,IF(C253&lt;6.91,(200+(6.91-C253)*100),VLOOKUP(-C253,baza!$E:$F,2,1))))</f>
        <v>0</v>
      </c>
      <c r="E253" s="103"/>
      <c r="F253" s="104">
        <f>IF(E253&lt;18,0,IF(E253&gt;104,(200+(E253-104)*4),VLOOKUP(E253,baza!$C$3:$F$202,4,1)))</f>
        <v>0</v>
      </c>
      <c r="G253" s="105"/>
      <c r="H253" s="104">
        <f>IF(G253&lt;baza!$I$202,0,IF(G253&gt;baza!$I$3,(200+(G253-206)*2),VLOOKUP(G253,baza!$I:$J,2,0)))</f>
        <v>0</v>
      </c>
      <c r="I253" s="105"/>
      <c r="J253" s="104">
        <f>IF(I253&lt;210,0,IF(I253&gt;712,(200+I253-712),VLOOKUP(I253,baza!$B$3:$F$202,5,1)))</f>
        <v>0</v>
      </c>
      <c r="K253" s="106"/>
      <c r="L253" s="104">
        <f>IF(K253="",0,IF(K253&gt;(-1*baza!$D$3),0,IF(K253&lt;232.3,INT(200+(232.3-K253)*3),VLOOKUP(-K253,baza!$D$1:$F$203,3,1))))</f>
        <v>0</v>
      </c>
      <c r="M253" s="107">
        <f t="shared" ref="M253:M258" si="70">(D253+F253+H253+J253)</f>
        <v>0</v>
      </c>
      <c r="N253" s="108">
        <f t="shared" ref="N253:N258" si="71">M253+L253</f>
        <v>0</v>
      </c>
      <c r="O253" s="14"/>
      <c r="P253" s="9"/>
    </row>
    <row r="254" spans="1:16" ht="18" thickTop="1" thickBot="1">
      <c r="A254" s="30" t="str">
        <f>O257 &amp;"  " &amp;"I dzień"</f>
        <v>0  I dzień</v>
      </c>
      <c r="B254" s="114">
        <f>szkoły!D68</f>
        <v>0</v>
      </c>
      <c r="C254" s="103"/>
      <c r="D254" s="104">
        <f>IF(C254&gt;="",0,IF(C254&gt;=11.61,0,IF(C254&lt;6.91,(200+(6.91-C254)*100),VLOOKUP(-C254,baza!$E:$F,2,1))))</f>
        <v>0</v>
      </c>
      <c r="E254" s="103"/>
      <c r="F254" s="104">
        <f>IF(E254&lt;18,0,IF(E254&gt;104,(200+(E254-104)*4),VLOOKUP(E254,baza!$C$3:$F$202,4,1)))</f>
        <v>0</v>
      </c>
      <c r="G254" s="105"/>
      <c r="H254" s="104">
        <f>IF(G254&lt;baza!$I$202,0,IF(G254&gt;baza!$I$3,(200+(G254-206)*2),VLOOKUP(G254,baza!$I:$J,2,0)))</f>
        <v>0</v>
      </c>
      <c r="I254" s="105"/>
      <c r="J254" s="104">
        <f>IF(I254&lt;210,0,IF(I254&gt;712,(200+I254-712),VLOOKUP(I254,baza!$B$3:$F$202,5,1)))</f>
        <v>0</v>
      </c>
      <c r="K254" s="106"/>
      <c r="L254" s="104">
        <f>IF(K254="",0,IF(K254&gt;(-1*baza!$D$3),0,IF(K254&lt;232.3,INT(200+(232.3-K254)*3),VLOOKUP(-K254,baza!$D$1:$F$203,3,1))))</f>
        <v>0</v>
      </c>
      <c r="M254" s="107">
        <f t="shared" si="70"/>
        <v>0</v>
      </c>
      <c r="N254" s="108">
        <f t="shared" si="71"/>
        <v>0</v>
      </c>
      <c r="O254" s="14"/>
      <c r="P254" s="9"/>
    </row>
    <row r="255" spans="1:16" ht="18" thickTop="1" thickBot="1">
      <c r="A255" s="30" t="str">
        <f>O258 &amp;"  " &amp;"II dzień"</f>
        <v>0  II dzień</v>
      </c>
      <c r="B255" s="114">
        <f>szkoły!D69</f>
        <v>0</v>
      </c>
      <c r="C255" s="103"/>
      <c r="D255" s="104">
        <f>IF(C255&gt;="",0,IF(C255&gt;=11.61,0,IF(C255&lt;6.91,(200+(6.91-C255)*100),VLOOKUP(-C255,baza!$E:$F,2,1))))</f>
        <v>0</v>
      </c>
      <c r="E255" s="103"/>
      <c r="F255" s="104">
        <f>IF(E255&lt;18,0,IF(E255&gt;104,(200+(E255-104)*4),VLOOKUP(E255,baza!$C$3:$F$202,4,1)))</f>
        <v>0</v>
      </c>
      <c r="G255" s="105"/>
      <c r="H255" s="104">
        <f>IF(G255&lt;baza!$I$202,0,IF(G255&gt;baza!$I$3,(200+(G255-206)*2),VLOOKUP(G255,baza!$I:$J,2,0)))</f>
        <v>0</v>
      </c>
      <c r="I255" s="105"/>
      <c r="J255" s="104">
        <f>IF(I255&lt;210,0,IF(I255&gt;712,(200+I255-712),VLOOKUP(I255,baza!$B$3:$F$202,5,1)))</f>
        <v>0</v>
      </c>
      <c r="K255" s="106"/>
      <c r="L255" s="104">
        <f>IF(K255="",0,IF(K255&gt;(-1*baza!$D$3),0,IF(K255&lt;232.3,INT(200+(232.3-K255)*3),VLOOKUP(-K255,baza!$D$1:$F$203,3,1))))</f>
        <v>0</v>
      </c>
      <c r="M255" s="107">
        <f t="shared" si="70"/>
        <v>0</v>
      </c>
      <c r="N255" s="108">
        <f t="shared" si="71"/>
        <v>0</v>
      </c>
      <c r="O255" s="14"/>
      <c r="P255" s="9"/>
    </row>
    <row r="256" spans="1:16" ht="18" thickTop="1" thickBot="1">
      <c r="A256" s="10"/>
      <c r="B256" s="114">
        <f>szkoły!D70</f>
        <v>0</v>
      </c>
      <c r="C256" s="103"/>
      <c r="D256" s="104">
        <f>IF(C256&gt;="",0,IF(C256&gt;=11.61,0,IF(C256&lt;6.91,(200+(6.91-C256)*100),VLOOKUP(-C256,baza!$E:$F,2,1))))</f>
        <v>0</v>
      </c>
      <c r="E256" s="103"/>
      <c r="F256" s="104">
        <f>IF(E256&lt;18,0,IF(E256&gt;104,(200+(E256-104)*4),VLOOKUP(E256,baza!$C$3:$F$202,4,1)))</f>
        <v>0</v>
      </c>
      <c r="G256" s="105"/>
      <c r="H256" s="104">
        <f>IF(G256&lt;baza!$I$202,0,IF(G256&gt;baza!$I$3,(200+(G256-206)*2),VLOOKUP(G256,baza!$I:$J,2,0)))</f>
        <v>0</v>
      </c>
      <c r="I256" s="105"/>
      <c r="J256" s="104">
        <f>IF(I256&lt;210,0,IF(I256&gt;712,(200+I256-712),VLOOKUP(I256,baza!$B$3:$F$202,5,1)))</f>
        <v>0</v>
      </c>
      <c r="K256" s="106"/>
      <c r="L256" s="104">
        <f>IF(K256="",0,IF(K256&gt;(-1*baza!$D$3),0,IF(K256&lt;232.3,INT(200+(232.3-K256)*3),VLOOKUP(-K256,baza!$D$1:$F$203,3,1))))</f>
        <v>0</v>
      </c>
      <c r="M256" s="107">
        <f t="shared" si="70"/>
        <v>0</v>
      </c>
      <c r="N256" s="108">
        <f t="shared" si="71"/>
        <v>0</v>
      </c>
      <c r="O256" s="14"/>
      <c r="P256" s="9"/>
    </row>
    <row r="257" spans="1:16" ht="18" thickTop="1" thickBot="1">
      <c r="A257" s="10"/>
      <c r="B257" s="114">
        <f>szkoły!D71</f>
        <v>0</v>
      </c>
      <c r="C257" s="103"/>
      <c r="D257" s="104">
        <f>IF(C257&gt;="",0,IF(C257&gt;=11.61,0,IF(C257&lt;6.91,(200+(6.91-C257)*100),VLOOKUP(-C257,baza!$E:$F,2,1))))</f>
        <v>0</v>
      </c>
      <c r="E257" s="103"/>
      <c r="F257" s="104">
        <f>IF(E257&lt;18,0,IF(E257&gt;104,(200+(E257-104)*4),VLOOKUP(E257,baza!$C$3:$F$202,4,1)))</f>
        <v>0</v>
      </c>
      <c r="G257" s="105"/>
      <c r="H257" s="104">
        <f>IF(G257&lt;baza!$I$202,0,IF(G257&gt;baza!$I$3,(200+(G257-206)*2),VLOOKUP(G257,baza!$I:$J,2,0)))</f>
        <v>0</v>
      </c>
      <c r="I257" s="105"/>
      <c r="J257" s="104">
        <f>IF(I257&lt;210,0,IF(I257&gt;712,(200+I257-712),VLOOKUP(I257,baza!$B$3:$F$202,5,1)))</f>
        <v>0</v>
      </c>
      <c r="K257" s="106"/>
      <c r="L257" s="104">
        <f>IF(K257="",0,IF(K257&gt;(-1*baza!$D$3),0,IF(K257&lt;232.3,INT(200+(232.3-K257)*3),VLOOKUP(-K257,baza!$D$1:$F$203,3,1))))</f>
        <v>0</v>
      </c>
      <c r="M257" s="107">
        <f t="shared" si="70"/>
        <v>0</v>
      </c>
      <c r="N257" s="108">
        <f t="shared" si="71"/>
        <v>0</v>
      </c>
      <c r="O257" s="15">
        <f>SUM(M253:M258)</f>
        <v>0</v>
      </c>
      <c r="P257" s="8" t="s">
        <v>9</v>
      </c>
    </row>
    <row r="258" spans="1:16" ht="18" thickTop="1" thickBot="1">
      <c r="A258" s="10"/>
      <c r="B258" s="114">
        <f>szkoły!D72</f>
        <v>0</v>
      </c>
      <c r="C258" s="103"/>
      <c r="D258" s="104">
        <f>IF(C258&gt;="",0,IF(C258&gt;=11.61,0,IF(C258&lt;6.91,(200+(6.91-C258)*100),VLOOKUP(-C258,baza!$E:$F,2,1))))</f>
        <v>0</v>
      </c>
      <c r="E258" s="103"/>
      <c r="F258" s="104">
        <f>IF(E258&lt;18,0,IF(E258&gt;104,(200+(E258-104)*4),VLOOKUP(E258,baza!$C$3:$F$202,4,1)))</f>
        <v>0</v>
      </c>
      <c r="G258" s="105"/>
      <c r="H258" s="104">
        <f>IF(G258&lt;baza!$I$202,0,IF(G258&gt;baza!$I$3,(200+(G258-206)*2),VLOOKUP(G258,baza!$I:$J,2,0)))</f>
        <v>0</v>
      </c>
      <c r="I258" s="105"/>
      <c r="J258" s="104">
        <f>IF(I258&lt;210,0,IF(I258&gt;712,(200+I258-712),VLOOKUP(I258,baza!$B$3:$F$202,5,1)))</f>
        <v>0</v>
      </c>
      <c r="K258" s="106"/>
      <c r="L258" s="104">
        <f>IF(K258="",0,IF(K258&gt;(-1*baza!$D$3),0,IF(K258&lt;232.3,INT(200+(232.3-K258)*3),VLOOKUP(-K258,baza!$D$1:$F$203,3,1))))</f>
        <v>0</v>
      </c>
      <c r="M258" s="107">
        <f t="shared" si="70"/>
        <v>0</v>
      </c>
      <c r="N258" s="108">
        <f t="shared" si="71"/>
        <v>0</v>
      </c>
      <c r="O258" s="15">
        <f>IF(COUNT(N253:N258)&lt;6,SUM(N253:N258),SUM(N253:N258)-MIN(N253:N258))</f>
        <v>0</v>
      </c>
      <c r="P258" s="8" t="s">
        <v>11</v>
      </c>
    </row>
    <row r="259" spans="1:16" ht="16.5" thickTop="1" thickBot="1">
      <c r="A259" s="13">
        <f>szkoły!A74</f>
        <v>0</v>
      </c>
      <c r="B259" s="113" t="s">
        <v>6</v>
      </c>
      <c r="C259" s="25" t="s">
        <v>3</v>
      </c>
      <c r="D259" s="27" t="s">
        <v>7</v>
      </c>
      <c r="E259" s="28" t="s">
        <v>8</v>
      </c>
      <c r="F259" s="27" t="s">
        <v>7</v>
      </c>
      <c r="G259" s="27" t="s">
        <v>5</v>
      </c>
      <c r="H259" s="27" t="s">
        <v>7</v>
      </c>
      <c r="I259" s="27" t="s">
        <v>0</v>
      </c>
      <c r="J259" s="27" t="s">
        <v>7</v>
      </c>
      <c r="K259" s="29" t="s">
        <v>2</v>
      </c>
      <c r="L259" s="27" t="s">
        <v>7</v>
      </c>
      <c r="M259" s="26" t="s">
        <v>9</v>
      </c>
      <c r="N259" s="26" t="s">
        <v>10</v>
      </c>
      <c r="O259" s="14"/>
      <c r="P259" s="9"/>
    </row>
    <row r="260" spans="1:16" ht="18" thickTop="1" thickBot="1">
      <c r="A260" s="7"/>
      <c r="B260" s="114">
        <f>szkoły!A75</f>
        <v>0</v>
      </c>
      <c r="C260" s="103"/>
      <c r="D260" s="104">
        <f>IF(C260&gt;="",0,IF(C260&gt;=11.61,0,IF(C260&lt;6.91,(200+(6.91-C260)*100),VLOOKUP(-C260,baza!$E:$F,2,1))))</f>
        <v>0</v>
      </c>
      <c r="E260" s="103"/>
      <c r="F260" s="104">
        <f>IF(E260&lt;18,0,IF(E260&gt;104,(200+(E260-104)*4),VLOOKUP(E260,baza!$C$3:$F$202,4,1)))</f>
        <v>0</v>
      </c>
      <c r="G260" s="105"/>
      <c r="H260" s="104">
        <f>IF(G260&lt;baza!$I$202,0,IF(G260&gt;baza!$I$3,(200+(G260-206)*2),VLOOKUP(G260,baza!$I:$J,2,0)))</f>
        <v>0</v>
      </c>
      <c r="I260" s="105"/>
      <c r="J260" s="104">
        <f>IF(I260&lt;210,0,IF(I260&gt;712,(200+I260-712),VLOOKUP(I260,baza!$B$3:$F$202,5,1)))</f>
        <v>0</v>
      </c>
      <c r="K260" s="106"/>
      <c r="L260" s="104">
        <f>IF(K260="",0,IF(K260&gt;(-1*baza!$D$3),0,IF(K260&lt;232.3,INT(200+(232.3-K260)*3),VLOOKUP(-K260,baza!$D$1:$F$203,3,1))))</f>
        <v>0</v>
      </c>
      <c r="M260" s="107">
        <f t="shared" ref="M260:M265" si="72">(D260+F260+H260+J260)</f>
        <v>0</v>
      </c>
      <c r="N260" s="108">
        <f t="shared" ref="N260:N265" si="73">M260+L260</f>
        <v>0</v>
      </c>
      <c r="O260" s="14"/>
      <c r="P260" s="9"/>
    </row>
    <row r="261" spans="1:16" ht="18" thickTop="1" thickBot="1">
      <c r="A261" s="30" t="str">
        <f>O264 &amp;"  " &amp;"I dzień"</f>
        <v>0  I dzień</v>
      </c>
      <c r="B261" s="114">
        <f>szkoły!A76</f>
        <v>0</v>
      </c>
      <c r="C261" s="103"/>
      <c r="D261" s="104">
        <f>IF(C261&gt;="",0,IF(C261&gt;=11.61,0,IF(C261&lt;6.91,(200+(6.91-C261)*100),VLOOKUP(-C261,baza!$E:$F,2,1))))</f>
        <v>0</v>
      </c>
      <c r="E261" s="103"/>
      <c r="F261" s="104">
        <f>IF(E261&lt;18,0,IF(E261&gt;104,(200+(E261-104)*4),VLOOKUP(E261,baza!$C$3:$F$202,4,1)))</f>
        <v>0</v>
      </c>
      <c r="G261" s="105"/>
      <c r="H261" s="104">
        <f>IF(G261&lt;baza!$I$202,0,IF(G261&gt;baza!$I$3,(200+(G261-206)*2),VLOOKUP(G261,baza!$I:$J,2,0)))</f>
        <v>0</v>
      </c>
      <c r="I261" s="105"/>
      <c r="J261" s="104">
        <f>IF(I261&lt;210,0,IF(I261&gt;712,(200+I261-712),VLOOKUP(I261,baza!$B$3:$F$202,5,1)))</f>
        <v>0</v>
      </c>
      <c r="K261" s="106"/>
      <c r="L261" s="104">
        <f>IF(K261="",0,IF(K261&gt;(-1*baza!$D$3),0,IF(K261&lt;232.3,INT(200+(232.3-K261)*3),VLOOKUP(-K261,baza!$D$1:$F$203,3,1))))</f>
        <v>0</v>
      </c>
      <c r="M261" s="107">
        <f t="shared" si="72"/>
        <v>0</v>
      </c>
      <c r="N261" s="108">
        <f t="shared" si="73"/>
        <v>0</v>
      </c>
      <c r="O261" s="14"/>
      <c r="P261" s="9"/>
    </row>
    <row r="262" spans="1:16" ht="18" thickTop="1" thickBot="1">
      <c r="A262" s="30" t="str">
        <f>O265 &amp;"  " &amp;"II dzień"</f>
        <v>0  II dzień</v>
      </c>
      <c r="B262" s="114">
        <f>szkoły!A77</f>
        <v>0</v>
      </c>
      <c r="C262" s="103"/>
      <c r="D262" s="104">
        <f>IF(C262&gt;="",0,IF(C262&gt;=11.61,0,IF(C262&lt;6.91,(200+(6.91-C262)*100),VLOOKUP(-C262,baza!$E:$F,2,1))))</f>
        <v>0</v>
      </c>
      <c r="E262" s="103"/>
      <c r="F262" s="104">
        <f>IF(E262&lt;18,0,IF(E262&gt;104,(200+(E262-104)*4),VLOOKUP(E262,baza!$C$3:$F$202,4,1)))</f>
        <v>0</v>
      </c>
      <c r="G262" s="105"/>
      <c r="H262" s="104">
        <f>IF(G262&lt;baza!$I$202,0,IF(G262&gt;baza!$I$3,(200+(G262-206)*2),VLOOKUP(G262,baza!$I:$J,2,0)))</f>
        <v>0</v>
      </c>
      <c r="I262" s="105"/>
      <c r="J262" s="104">
        <f>IF(I262&lt;210,0,IF(I262&gt;712,(200+I262-712),VLOOKUP(I262,baza!$B$3:$F$202,5,1)))</f>
        <v>0</v>
      </c>
      <c r="K262" s="106"/>
      <c r="L262" s="104">
        <f>IF(K262="",0,IF(K262&gt;(-1*baza!$D$3),0,IF(K262&lt;232.3,INT(200+(232.3-K262)*3),VLOOKUP(-K262,baza!$D$1:$F$203,3,1))))</f>
        <v>0</v>
      </c>
      <c r="M262" s="107">
        <f t="shared" si="72"/>
        <v>0</v>
      </c>
      <c r="N262" s="108">
        <f t="shared" si="73"/>
        <v>0</v>
      </c>
      <c r="O262" s="14"/>
      <c r="P262" s="9"/>
    </row>
    <row r="263" spans="1:16" ht="18" thickTop="1" thickBot="1">
      <c r="A263" s="7"/>
      <c r="B263" s="114">
        <f>szkoły!A78</f>
        <v>0</v>
      </c>
      <c r="C263" s="103"/>
      <c r="D263" s="104">
        <f>IF(C263&gt;="",0,IF(C263&gt;=11.61,0,IF(C263&lt;6.91,(200+(6.91-C263)*100),VLOOKUP(-C263,baza!$E:$F,2,1))))</f>
        <v>0</v>
      </c>
      <c r="E263" s="103"/>
      <c r="F263" s="104">
        <f>IF(E263&lt;18,0,IF(E263&gt;104,(200+(E263-104)*4),VLOOKUP(E263,baza!$C$3:$F$202,4,1)))</f>
        <v>0</v>
      </c>
      <c r="G263" s="105"/>
      <c r="H263" s="104">
        <f>IF(G263&lt;baza!$I$202,0,IF(G263&gt;baza!$I$3,(200+(G263-206)*2),VLOOKUP(G263,baza!$I:$J,2,0)))</f>
        <v>0</v>
      </c>
      <c r="I263" s="105"/>
      <c r="J263" s="104">
        <f>IF(I263&lt;210,0,IF(I263&gt;712,(200+I263-712),VLOOKUP(I263,baza!$B$3:$F$202,5,1)))</f>
        <v>0</v>
      </c>
      <c r="K263" s="106"/>
      <c r="L263" s="104">
        <f>IF(K263="",0,IF(K263&gt;(-1*baza!$D$3),0,IF(K263&lt;232.3,INT(200+(232.3-K263)*3),VLOOKUP(-K263,baza!$D$1:$F$203,3,1))))</f>
        <v>0</v>
      </c>
      <c r="M263" s="107">
        <f t="shared" si="72"/>
        <v>0</v>
      </c>
      <c r="N263" s="108">
        <f t="shared" si="73"/>
        <v>0</v>
      </c>
      <c r="O263" s="14"/>
      <c r="P263" s="9"/>
    </row>
    <row r="264" spans="1:16" ht="18" thickTop="1" thickBot="1">
      <c r="A264" s="7"/>
      <c r="B264" s="114">
        <f>szkoły!A79</f>
        <v>0</v>
      </c>
      <c r="C264" s="103"/>
      <c r="D264" s="104">
        <f>IF(C264&gt;="",0,IF(C264&gt;=11.61,0,IF(C264&lt;6.91,(200+(6.91-C264)*100),VLOOKUP(-C264,baza!$E:$F,2,1))))</f>
        <v>0</v>
      </c>
      <c r="E264" s="103"/>
      <c r="F264" s="104">
        <f>IF(E264&lt;18,0,IF(E264&gt;104,(200+(E264-104)*4),VLOOKUP(E264,baza!$C$3:$F$202,4,1)))</f>
        <v>0</v>
      </c>
      <c r="G264" s="105"/>
      <c r="H264" s="104">
        <f>IF(G264&lt;baza!$I$202,0,IF(G264&gt;baza!$I$3,(200+(G264-206)*2),VLOOKUP(G264,baza!$I:$J,2,0)))</f>
        <v>0</v>
      </c>
      <c r="I264" s="105"/>
      <c r="J264" s="104">
        <f>IF(I264&lt;210,0,IF(I264&gt;712,(200+I264-712),VLOOKUP(I264,baza!$B$3:$F$202,5,1)))</f>
        <v>0</v>
      </c>
      <c r="K264" s="106"/>
      <c r="L264" s="104">
        <f>IF(K264="",0,IF(K264&gt;(-1*baza!$D$3),0,IF(K264&lt;232.3,INT(200+(232.3-K264)*3),VLOOKUP(-K264,baza!$D$1:$F$203,3,1))))</f>
        <v>0</v>
      </c>
      <c r="M264" s="107">
        <f t="shared" si="72"/>
        <v>0</v>
      </c>
      <c r="N264" s="108">
        <f t="shared" si="73"/>
        <v>0</v>
      </c>
      <c r="O264" s="15">
        <f>SUM(M260:M265)</f>
        <v>0</v>
      </c>
      <c r="P264" s="8" t="s">
        <v>9</v>
      </c>
    </row>
    <row r="265" spans="1:16" ht="18" thickTop="1" thickBot="1">
      <c r="A265" s="7"/>
      <c r="B265" s="114">
        <f>szkoły!A80</f>
        <v>0</v>
      </c>
      <c r="C265" s="103"/>
      <c r="D265" s="104">
        <f>IF(C265&gt;="",0,IF(C265&gt;=11.61,0,IF(C265&lt;6.91,(200+(6.91-C265)*100),VLOOKUP(-C265,baza!$E:$F,2,1))))</f>
        <v>0</v>
      </c>
      <c r="E265" s="103"/>
      <c r="F265" s="104">
        <f>IF(E265&lt;18,0,IF(E265&gt;104,(200+(E265-104)*4),VLOOKUP(E265,baza!$C$3:$F$202,4,1)))</f>
        <v>0</v>
      </c>
      <c r="G265" s="105"/>
      <c r="H265" s="104">
        <f>IF(G265&lt;baza!$I$202,0,IF(G265&gt;baza!$I$3,(200+(G265-206)*2),VLOOKUP(G265,baza!$I:$J,2,0)))</f>
        <v>0</v>
      </c>
      <c r="I265" s="105"/>
      <c r="J265" s="104">
        <f>IF(I265&lt;210,0,IF(I265&gt;712,(200+I265-712),VLOOKUP(I265,baza!$B$3:$F$202,5,1)))</f>
        <v>0</v>
      </c>
      <c r="K265" s="106"/>
      <c r="L265" s="104">
        <f>IF(K265="",0,IF(K265&gt;(-1*baza!$D$3),0,IF(K265&lt;232.3,INT(200+(232.3-K265)*3),VLOOKUP(-K265,baza!$D$1:$F$203,3,1))))</f>
        <v>0</v>
      </c>
      <c r="M265" s="107">
        <f t="shared" si="72"/>
        <v>0</v>
      </c>
      <c r="N265" s="108">
        <f t="shared" si="73"/>
        <v>0</v>
      </c>
      <c r="O265" s="15">
        <f>IF(COUNT(N260:N265)&lt;6,SUM(N260:N265),SUM(N260:N265)-MIN(N260:N265))</f>
        <v>0</v>
      </c>
      <c r="P265" s="8" t="s">
        <v>11</v>
      </c>
    </row>
    <row r="266" spans="1:16" ht="16.5" thickTop="1" thickBot="1">
      <c r="A266" s="13">
        <f>szkoły!B74</f>
        <v>0</v>
      </c>
      <c r="B266" s="113" t="s">
        <v>6</v>
      </c>
      <c r="C266" s="25" t="s">
        <v>3</v>
      </c>
      <c r="D266" s="27" t="s">
        <v>7</v>
      </c>
      <c r="E266" s="28" t="s">
        <v>8</v>
      </c>
      <c r="F266" s="27" t="s">
        <v>7</v>
      </c>
      <c r="G266" s="27" t="s">
        <v>5</v>
      </c>
      <c r="H266" s="27" t="s">
        <v>7</v>
      </c>
      <c r="I266" s="27" t="s">
        <v>0</v>
      </c>
      <c r="J266" s="27" t="s">
        <v>7</v>
      </c>
      <c r="K266" s="29" t="s">
        <v>2</v>
      </c>
      <c r="L266" s="27" t="s">
        <v>7</v>
      </c>
      <c r="M266" s="26" t="s">
        <v>9</v>
      </c>
      <c r="N266" s="26" t="s">
        <v>10</v>
      </c>
      <c r="O266" s="14"/>
      <c r="P266" s="9"/>
    </row>
    <row r="267" spans="1:16" ht="18" thickTop="1" thickBot="1">
      <c r="A267" s="10"/>
      <c r="B267" s="114">
        <f>szkoły!B75</f>
        <v>0</v>
      </c>
      <c r="C267" s="103"/>
      <c r="D267" s="104">
        <f>IF(C267&gt;="",0,IF(C267&gt;=11.61,0,IF(C267&lt;6.91,(200+(6.91-C267)*100),VLOOKUP(-C267,baza!$E:$F,2,1))))</f>
        <v>0</v>
      </c>
      <c r="E267" s="103"/>
      <c r="F267" s="104">
        <f>IF(E267&lt;18,0,IF(E267&gt;104,(200+(E267-104)*4),VLOOKUP(E267,baza!$C$3:$F$202,4,1)))</f>
        <v>0</v>
      </c>
      <c r="G267" s="105"/>
      <c r="H267" s="104">
        <f>IF(G267&lt;baza!$I$202,0,IF(G267&gt;baza!$I$3,(200+(G267-206)*2),VLOOKUP(G267,baza!$I:$J,2,0)))</f>
        <v>0</v>
      </c>
      <c r="I267" s="105"/>
      <c r="J267" s="104">
        <f>IF(I267&lt;210,0,IF(I267&gt;712,(200+I267-712),VLOOKUP(I267,baza!$B$3:$F$202,5,1)))</f>
        <v>0</v>
      </c>
      <c r="K267" s="106"/>
      <c r="L267" s="104">
        <f>IF(K267="",0,IF(K267&gt;(-1*baza!$D$3),0,IF(K267&lt;232.3,INT(200+(232.3-K267)*3),VLOOKUP(-K267,baza!$D$1:$F$203,3,1))))</f>
        <v>0</v>
      </c>
      <c r="M267" s="107">
        <f t="shared" ref="M267:M272" si="74">(D267+F267+H267+J267)</f>
        <v>0</v>
      </c>
      <c r="N267" s="108">
        <f t="shared" ref="N267:N272" si="75">M267+L267</f>
        <v>0</v>
      </c>
      <c r="O267" s="14"/>
      <c r="P267" s="9"/>
    </row>
    <row r="268" spans="1:16" ht="18" thickTop="1" thickBot="1">
      <c r="A268" s="30" t="str">
        <f>O271 &amp;"  " &amp;"I dzień"</f>
        <v>0  I dzień</v>
      </c>
      <c r="B268" s="114">
        <f>szkoły!B76</f>
        <v>0</v>
      </c>
      <c r="C268" s="103"/>
      <c r="D268" s="104">
        <f>IF(C268&gt;="",0,IF(C268&gt;=11.61,0,IF(C268&lt;6.91,(200+(6.91-C268)*100),VLOOKUP(-C268,baza!$E:$F,2,1))))</f>
        <v>0</v>
      </c>
      <c r="E268" s="103"/>
      <c r="F268" s="104">
        <f>IF(E268&lt;18,0,IF(E268&gt;104,(200+(E268-104)*4),VLOOKUP(E268,baza!$C$3:$F$202,4,1)))</f>
        <v>0</v>
      </c>
      <c r="G268" s="105"/>
      <c r="H268" s="104">
        <f>IF(G268&lt;baza!$I$202,0,IF(G268&gt;baza!$I$3,(200+(G268-206)*2),VLOOKUP(G268,baza!$I:$J,2,0)))</f>
        <v>0</v>
      </c>
      <c r="I268" s="105"/>
      <c r="J268" s="104">
        <f>IF(I268&lt;210,0,IF(I268&gt;712,(200+I268-712),VLOOKUP(I268,baza!$B$3:$F$202,5,1)))</f>
        <v>0</v>
      </c>
      <c r="K268" s="106"/>
      <c r="L268" s="104">
        <f>IF(K268="",0,IF(K268&gt;(-1*baza!$D$3),0,IF(K268&lt;232.3,INT(200+(232.3-K268)*3),VLOOKUP(-K268,baza!$D$1:$F$203,3,1))))</f>
        <v>0</v>
      </c>
      <c r="M268" s="107">
        <f t="shared" si="74"/>
        <v>0</v>
      </c>
      <c r="N268" s="108">
        <f t="shared" si="75"/>
        <v>0</v>
      </c>
      <c r="O268" s="14"/>
      <c r="P268" s="9"/>
    </row>
    <row r="269" spans="1:16" ht="18" thickTop="1" thickBot="1">
      <c r="A269" s="30" t="str">
        <f>O272 &amp;"  " &amp;"II dzień"</f>
        <v>0  II dzień</v>
      </c>
      <c r="B269" s="114">
        <f>szkoły!B77</f>
        <v>0</v>
      </c>
      <c r="C269" s="103"/>
      <c r="D269" s="104">
        <f>IF(C269&gt;="",0,IF(C269&gt;=11.61,0,IF(C269&lt;6.91,(200+(6.91-C269)*100),VLOOKUP(-C269,baza!$E:$F,2,1))))</f>
        <v>0</v>
      </c>
      <c r="E269" s="103"/>
      <c r="F269" s="104">
        <f>IF(E269&lt;18,0,IF(E269&gt;104,(200+(E269-104)*4),VLOOKUP(E269,baza!$C$3:$F$202,4,1)))</f>
        <v>0</v>
      </c>
      <c r="G269" s="105"/>
      <c r="H269" s="104">
        <f>IF(G269&lt;baza!$I$202,0,IF(G269&gt;baza!$I$3,(200+(G269-206)*2),VLOOKUP(G269,baza!$I:$J,2,0)))</f>
        <v>0</v>
      </c>
      <c r="I269" s="105"/>
      <c r="J269" s="104">
        <f>IF(I269&lt;210,0,IF(I269&gt;712,(200+I269-712),VLOOKUP(I269,baza!$B$3:$F$202,5,1)))</f>
        <v>0</v>
      </c>
      <c r="K269" s="106"/>
      <c r="L269" s="104">
        <f>IF(K269="",0,IF(K269&gt;(-1*baza!$D$3),0,IF(K269&lt;232.3,INT(200+(232.3-K269)*3),VLOOKUP(-K269,baza!$D$1:$F$203,3,1))))</f>
        <v>0</v>
      </c>
      <c r="M269" s="107">
        <f t="shared" si="74"/>
        <v>0</v>
      </c>
      <c r="N269" s="108">
        <f t="shared" si="75"/>
        <v>0</v>
      </c>
      <c r="O269" s="14"/>
      <c r="P269" s="9"/>
    </row>
    <row r="270" spans="1:16" ht="18" thickTop="1" thickBot="1">
      <c r="A270" s="10"/>
      <c r="B270" s="114">
        <f>szkoły!B78</f>
        <v>0</v>
      </c>
      <c r="C270" s="103"/>
      <c r="D270" s="104">
        <f>IF(C270&gt;="",0,IF(C270&gt;=11.61,0,IF(C270&lt;6.91,(200+(6.91-C270)*100),VLOOKUP(-C270,baza!$E:$F,2,1))))</f>
        <v>0</v>
      </c>
      <c r="E270" s="103"/>
      <c r="F270" s="104">
        <f>IF(E270&lt;18,0,IF(E270&gt;104,(200+(E270-104)*4),VLOOKUP(E270,baza!$C$3:$F$202,4,1)))</f>
        <v>0</v>
      </c>
      <c r="G270" s="105"/>
      <c r="H270" s="104">
        <f>IF(G270&lt;baza!$I$202,0,IF(G270&gt;baza!$I$3,(200+(G270-206)*2),VLOOKUP(G270,baza!$I:$J,2,0)))</f>
        <v>0</v>
      </c>
      <c r="I270" s="105"/>
      <c r="J270" s="104">
        <f>IF(I270&lt;210,0,IF(I270&gt;712,(200+I270-712),VLOOKUP(I270,baza!$B$3:$F$202,5,1)))</f>
        <v>0</v>
      </c>
      <c r="K270" s="106"/>
      <c r="L270" s="104">
        <f>IF(K270="",0,IF(K270&gt;(-1*baza!$D$3),0,IF(K270&lt;232.3,INT(200+(232.3-K270)*3),VLOOKUP(-K270,baza!$D$1:$F$203,3,1))))</f>
        <v>0</v>
      </c>
      <c r="M270" s="107">
        <f t="shared" si="74"/>
        <v>0</v>
      </c>
      <c r="N270" s="108">
        <f t="shared" si="75"/>
        <v>0</v>
      </c>
      <c r="O270" s="14"/>
      <c r="P270" s="9"/>
    </row>
    <row r="271" spans="1:16" ht="18" thickTop="1" thickBot="1">
      <c r="A271" s="10"/>
      <c r="B271" s="114">
        <f>szkoły!B79</f>
        <v>0</v>
      </c>
      <c r="C271" s="103"/>
      <c r="D271" s="104">
        <f>IF(C271&gt;="",0,IF(C271&gt;=11.61,0,IF(C271&lt;6.91,(200+(6.91-C271)*100),VLOOKUP(-C271,baza!$E:$F,2,1))))</f>
        <v>0</v>
      </c>
      <c r="E271" s="103"/>
      <c r="F271" s="104">
        <f>IF(E271&lt;18,0,IF(E271&gt;104,(200+(E271-104)*4),VLOOKUP(E271,baza!$C$3:$F$202,4,1)))</f>
        <v>0</v>
      </c>
      <c r="G271" s="105"/>
      <c r="H271" s="104">
        <f>IF(G271&lt;baza!$I$202,0,IF(G271&gt;baza!$I$3,(200+(G271-206)*2),VLOOKUP(G271,baza!$I:$J,2,0)))</f>
        <v>0</v>
      </c>
      <c r="I271" s="105"/>
      <c r="J271" s="104">
        <f>IF(I271&lt;210,0,IF(I271&gt;712,(200+I271-712),VLOOKUP(I271,baza!$B$3:$F$202,5,1)))</f>
        <v>0</v>
      </c>
      <c r="K271" s="106"/>
      <c r="L271" s="104">
        <f>IF(K271="",0,IF(K271&gt;(-1*baza!$D$3),0,IF(K271&lt;232.3,INT(200+(232.3-K271)*3),VLOOKUP(-K271,baza!$D$1:$F$203,3,1))))</f>
        <v>0</v>
      </c>
      <c r="M271" s="107">
        <f t="shared" si="74"/>
        <v>0</v>
      </c>
      <c r="N271" s="108">
        <f t="shared" si="75"/>
        <v>0</v>
      </c>
      <c r="O271" s="15">
        <f>SUM(M267:M272)</f>
        <v>0</v>
      </c>
      <c r="P271" s="8" t="s">
        <v>9</v>
      </c>
    </row>
    <row r="272" spans="1:16" ht="18" thickTop="1" thickBot="1">
      <c r="A272" s="10"/>
      <c r="B272" s="114">
        <f>szkoły!B80</f>
        <v>0</v>
      </c>
      <c r="C272" s="103"/>
      <c r="D272" s="104">
        <f>IF(C272&gt;="",0,IF(C272&gt;=11.61,0,IF(C272&lt;6.91,(200+(6.91-C272)*100),VLOOKUP(-C272,baza!$E:$F,2,1))))</f>
        <v>0</v>
      </c>
      <c r="E272" s="103"/>
      <c r="F272" s="104">
        <f>IF(E272&lt;18,0,IF(E272&gt;104,(200+(E272-104)*4),VLOOKUP(E272,baza!$C$3:$F$202,4,1)))</f>
        <v>0</v>
      </c>
      <c r="G272" s="105"/>
      <c r="H272" s="104">
        <f>IF(G272&lt;baza!$I$202,0,IF(G272&gt;baza!$I$3,(200+(G272-206)*2),VLOOKUP(G272,baza!$I:$J,2,0)))</f>
        <v>0</v>
      </c>
      <c r="I272" s="105"/>
      <c r="J272" s="104">
        <f>IF(I272&lt;210,0,IF(I272&gt;712,(200+I272-712),VLOOKUP(I272,baza!$B$3:$F$202,5,1)))</f>
        <v>0</v>
      </c>
      <c r="K272" s="106"/>
      <c r="L272" s="104">
        <f>IF(K272="",0,IF(K272&gt;(-1*baza!$D$3),0,IF(K272&lt;232.3,INT(200+(232.3-K272)*3),VLOOKUP(-K272,baza!$D$1:$F$203,3,1))))</f>
        <v>0</v>
      </c>
      <c r="M272" s="107">
        <f t="shared" si="74"/>
        <v>0</v>
      </c>
      <c r="N272" s="108">
        <f t="shared" si="75"/>
        <v>0</v>
      </c>
      <c r="O272" s="15">
        <f>IF(COUNT(N267:N272)&lt;6,SUM(N267:N272),SUM(N267:N272)-MIN(N267:N272))</f>
        <v>0</v>
      </c>
      <c r="P272" s="8" t="s">
        <v>11</v>
      </c>
    </row>
    <row r="273" spans="1:17" ht="16.5" thickTop="1" thickBot="1">
      <c r="A273" s="13">
        <f>szkoły!C74</f>
        <v>0</v>
      </c>
      <c r="B273" s="113" t="s">
        <v>6</v>
      </c>
      <c r="C273" s="25" t="s">
        <v>3</v>
      </c>
      <c r="D273" s="27" t="s">
        <v>7</v>
      </c>
      <c r="E273" s="28" t="s">
        <v>8</v>
      </c>
      <c r="F273" s="27" t="s">
        <v>7</v>
      </c>
      <c r="G273" s="27" t="s">
        <v>5</v>
      </c>
      <c r="H273" s="27" t="s">
        <v>7</v>
      </c>
      <c r="I273" s="27" t="s">
        <v>0</v>
      </c>
      <c r="J273" s="27" t="s">
        <v>7</v>
      </c>
      <c r="K273" s="29" t="s">
        <v>2</v>
      </c>
      <c r="L273" s="27" t="s">
        <v>7</v>
      </c>
      <c r="M273" s="26" t="s">
        <v>9</v>
      </c>
      <c r="N273" s="26" t="s">
        <v>10</v>
      </c>
      <c r="O273" s="14"/>
      <c r="P273" s="9"/>
    </row>
    <row r="274" spans="1:17" ht="18" thickTop="1" thickBot="1">
      <c r="A274" s="7"/>
      <c r="B274" s="114">
        <f>szkoły!C75</f>
        <v>0</v>
      </c>
      <c r="C274" s="103"/>
      <c r="D274" s="104">
        <f>IF(C274&gt;="",0,IF(C274&gt;=11.61,0,IF(C274&lt;6.91,(200+(6.91-C274)*100),VLOOKUP(-C274,baza!$E:$F,2,1))))</f>
        <v>0</v>
      </c>
      <c r="E274" s="103"/>
      <c r="F274" s="104">
        <f>IF(E274&lt;18,0,IF(E274&gt;104,(200+(E274-104)*4),VLOOKUP(E274,baza!$C$3:$F$202,4,1)))</f>
        <v>0</v>
      </c>
      <c r="G274" s="105"/>
      <c r="H274" s="104">
        <f>IF(G274&lt;baza!$I$202,0,IF(G274&gt;baza!$I$3,(200+(G274-206)*2),VLOOKUP(G274,baza!$I:$J,2,0)))</f>
        <v>0</v>
      </c>
      <c r="I274" s="105"/>
      <c r="J274" s="104">
        <f>IF(I274&lt;210,0,IF(I274&gt;712,(200+I274-712),VLOOKUP(I274,baza!$B$3:$F$202,5,1)))</f>
        <v>0</v>
      </c>
      <c r="K274" s="106"/>
      <c r="L274" s="104">
        <f>IF(K274="",0,IF(K274&gt;(-1*baza!$D$3),0,IF(K274&lt;232.3,INT(200+(232.3-K274)*3),VLOOKUP(-K274,baza!$D$1:$F$203,3,1))))</f>
        <v>0</v>
      </c>
      <c r="M274" s="107">
        <f t="shared" ref="M274:M279" si="76">(D274+F274+H274+J274)</f>
        <v>0</v>
      </c>
      <c r="N274" s="108">
        <f t="shared" ref="N274:N279" si="77">M274+L274</f>
        <v>0</v>
      </c>
      <c r="O274" s="14"/>
      <c r="P274" s="9"/>
    </row>
    <row r="275" spans="1:17" ht="18" thickTop="1" thickBot="1">
      <c r="A275" s="30" t="str">
        <f>O278 &amp;"  " &amp;"I dzień"</f>
        <v>0  I dzień</v>
      </c>
      <c r="B275" s="114">
        <f>szkoły!C76</f>
        <v>0</v>
      </c>
      <c r="C275" s="103"/>
      <c r="D275" s="104">
        <f>IF(C275&gt;="",0,IF(C275&gt;=11.61,0,IF(C275&lt;6.91,(200+(6.91-C275)*100),VLOOKUP(-C275,baza!$E:$F,2,1))))</f>
        <v>0</v>
      </c>
      <c r="E275" s="103"/>
      <c r="F275" s="104">
        <f>IF(E275&lt;18,0,IF(E275&gt;104,(200+(E275-104)*4),VLOOKUP(E275,baza!$C$3:$F$202,4,1)))</f>
        <v>0</v>
      </c>
      <c r="G275" s="105"/>
      <c r="H275" s="104">
        <f>IF(G275&lt;baza!$I$202,0,IF(G275&gt;baza!$I$3,(200+(G275-206)*2),VLOOKUP(G275,baza!$I:$J,2,0)))</f>
        <v>0</v>
      </c>
      <c r="I275" s="105"/>
      <c r="J275" s="104">
        <f>IF(I275&lt;210,0,IF(I275&gt;712,(200+I275-712),VLOOKUP(I275,baza!$B$3:$F$202,5,1)))</f>
        <v>0</v>
      </c>
      <c r="K275" s="106"/>
      <c r="L275" s="104">
        <f>IF(K275="",0,IF(K275&gt;(-1*baza!$D$3),0,IF(K275&lt;232.3,INT(200+(232.3-K275)*3),VLOOKUP(-K275,baza!$D$1:$F$203,3,1))))</f>
        <v>0</v>
      </c>
      <c r="M275" s="107">
        <f t="shared" si="76"/>
        <v>0</v>
      </c>
      <c r="N275" s="108">
        <f t="shared" si="77"/>
        <v>0</v>
      </c>
      <c r="O275" s="14"/>
      <c r="P275" s="9"/>
    </row>
    <row r="276" spans="1:17" ht="18" thickTop="1" thickBot="1">
      <c r="A276" s="30" t="str">
        <f>O279 &amp;"  " &amp;"II dzień"</f>
        <v>0  II dzień</v>
      </c>
      <c r="B276" s="114">
        <f>szkoły!C77</f>
        <v>0</v>
      </c>
      <c r="C276" s="103"/>
      <c r="D276" s="104">
        <f>IF(C276&gt;="",0,IF(C276&gt;=11.61,0,IF(C276&lt;6.91,(200+(6.91-C276)*100),VLOOKUP(-C276,baza!$E:$F,2,1))))</f>
        <v>0</v>
      </c>
      <c r="E276" s="103"/>
      <c r="F276" s="104">
        <f>IF(E276&lt;18,0,IF(E276&gt;104,(200+(E276-104)*4),VLOOKUP(E276,baza!$C$3:$F$202,4,1)))</f>
        <v>0</v>
      </c>
      <c r="G276" s="105"/>
      <c r="H276" s="104">
        <f>IF(G276&lt;baza!$I$202,0,IF(G276&gt;baza!$I$3,(200+(G276-206)*2),VLOOKUP(G276,baza!$I:$J,2,0)))</f>
        <v>0</v>
      </c>
      <c r="I276" s="105"/>
      <c r="J276" s="104">
        <f>IF(I276&lt;210,0,IF(I276&gt;712,(200+I276-712),VLOOKUP(I276,baza!$B$3:$F$202,5,1)))</f>
        <v>0</v>
      </c>
      <c r="K276" s="106"/>
      <c r="L276" s="104">
        <f>IF(K276="",0,IF(K276&gt;(-1*baza!$D$3),0,IF(K276&lt;232.3,INT(200+(232.3-K276)*3),VLOOKUP(-K276,baza!$D$1:$F$203,3,1))))</f>
        <v>0</v>
      </c>
      <c r="M276" s="107">
        <f t="shared" si="76"/>
        <v>0</v>
      </c>
      <c r="N276" s="108">
        <f t="shared" si="77"/>
        <v>0</v>
      </c>
      <c r="O276" s="14"/>
      <c r="P276" s="9"/>
    </row>
    <row r="277" spans="1:17" ht="18" thickTop="1" thickBot="1">
      <c r="A277" s="7"/>
      <c r="B277" s="114">
        <f>szkoły!C78</f>
        <v>0</v>
      </c>
      <c r="C277" s="103"/>
      <c r="D277" s="104">
        <f>IF(C277&gt;="",0,IF(C277&gt;=11.61,0,IF(C277&lt;6.91,(200+(6.91-C277)*100),VLOOKUP(-C277,baza!$E:$F,2,1))))</f>
        <v>0</v>
      </c>
      <c r="E277" s="103"/>
      <c r="F277" s="104">
        <f>IF(E277&lt;18,0,IF(E277&gt;104,(200+(E277-104)*4),VLOOKUP(E277,baza!$C$3:$F$202,4,1)))</f>
        <v>0</v>
      </c>
      <c r="G277" s="105"/>
      <c r="H277" s="104">
        <f>IF(G277&lt;baza!$I$202,0,IF(G277&gt;baza!$I$3,(200+(G277-206)*2),VLOOKUP(G277,baza!$I:$J,2,0)))</f>
        <v>0</v>
      </c>
      <c r="I277" s="105"/>
      <c r="J277" s="104">
        <f>IF(I277&lt;210,0,IF(I277&gt;712,(200+I277-712),VLOOKUP(I277,baza!$B$3:$F$202,5,1)))</f>
        <v>0</v>
      </c>
      <c r="K277" s="106"/>
      <c r="L277" s="104">
        <f>IF(K277="",0,IF(K277&gt;(-1*baza!$D$3),0,IF(K277&lt;232.3,INT(200+(232.3-K277)*3),VLOOKUP(-K277,baza!$D$1:$F$203,3,1))))</f>
        <v>0</v>
      </c>
      <c r="M277" s="107">
        <f t="shared" si="76"/>
        <v>0</v>
      </c>
      <c r="N277" s="108">
        <f t="shared" si="77"/>
        <v>0</v>
      </c>
      <c r="O277" s="14"/>
      <c r="P277" s="9"/>
    </row>
    <row r="278" spans="1:17" ht="18" thickTop="1" thickBot="1">
      <c r="A278" s="7"/>
      <c r="B278" s="114">
        <f>szkoły!C79</f>
        <v>0</v>
      </c>
      <c r="C278" s="103"/>
      <c r="D278" s="104">
        <f>IF(C278&gt;="",0,IF(C278&gt;=11.61,0,IF(C278&lt;6.91,(200+(6.91-C278)*100),VLOOKUP(-C278,baza!$E:$F,2,1))))</f>
        <v>0</v>
      </c>
      <c r="E278" s="103"/>
      <c r="F278" s="104">
        <f>IF(E278&lt;18,0,IF(E278&gt;104,(200+(E278-104)*4),VLOOKUP(E278,baza!$C$3:$F$202,4,1)))</f>
        <v>0</v>
      </c>
      <c r="G278" s="105"/>
      <c r="H278" s="104">
        <f>IF(G278&lt;baza!$I$202,0,IF(G278&gt;baza!$I$3,(200+(G278-206)*2),VLOOKUP(G278,baza!$I:$J,2,0)))</f>
        <v>0</v>
      </c>
      <c r="I278" s="105"/>
      <c r="J278" s="104">
        <f>IF(I278&lt;210,0,IF(I278&gt;712,(200+I278-712),VLOOKUP(I278,baza!$B$3:$F$202,5,1)))</f>
        <v>0</v>
      </c>
      <c r="K278" s="106"/>
      <c r="L278" s="104">
        <f>IF(K278="",0,IF(K278&gt;(-1*baza!$D$3),0,IF(K278&lt;232.3,INT(200+(232.3-K278)*3),VLOOKUP(-K278,baza!$D$1:$F$203,3,1))))</f>
        <v>0</v>
      </c>
      <c r="M278" s="107">
        <f t="shared" si="76"/>
        <v>0</v>
      </c>
      <c r="N278" s="108">
        <f t="shared" si="77"/>
        <v>0</v>
      </c>
      <c r="O278" s="15">
        <f>SUM(M274:M279)</f>
        <v>0</v>
      </c>
      <c r="P278" s="8" t="s">
        <v>9</v>
      </c>
    </row>
    <row r="279" spans="1:17" ht="18" thickTop="1" thickBot="1">
      <c r="A279" s="7"/>
      <c r="B279" s="114">
        <f>szkoły!C80</f>
        <v>0</v>
      </c>
      <c r="C279" s="103"/>
      <c r="D279" s="104">
        <f>IF(C279&gt;="",0,IF(C279&gt;=11.61,0,IF(C279&lt;6.91,(200+(6.91-C279)*100),VLOOKUP(-C279,baza!$E:$F,2,1))))</f>
        <v>0</v>
      </c>
      <c r="E279" s="103"/>
      <c r="F279" s="104">
        <f>IF(E279&lt;18,0,IF(E279&gt;104,(200+(E279-104)*4),VLOOKUP(E279,baza!$C$3:$F$202,4,1)))</f>
        <v>0</v>
      </c>
      <c r="G279" s="105"/>
      <c r="H279" s="104">
        <f>IF(G279&lt;baza!$I$202,0,IF(G279&gt;baza!$I$3,(200+(G279-206)*2),VLOOKUP(G279,baza!$I:$J,2,0)))</f>
        <v>0</v>
      </c>
      <c r="I279" s="105"/>
      <c r="J279" s="104">
        <f>IF(I279&lt;210,0,IF(I279&gt;712,(200+I279-712),VLOOKUP(I279,baza!$B$3:$F$202,5,1)))</f>
        <v>0</v>
      </c>
      <c r="K279" s="106"/>
      <c r="L279" s="104">
        <f>IF(K279="",0,IF(K279&gt;(-1*baza!$D$3),0,IF(K279&lt;232.3,INT(200+(232.3-K279)*3),VLOOKUP(-K279,baza!$D$1:$F$203,3,1))))</f>
        <v>0</v>
      </c>
      <c r="M279" s="107">
        <f t="shared" si="76"/>
        <v>0</v>
      </c>
      <c r="N279" s="108">
        <f t="shared" si="77"/>
        <v>0</v>
      </c>
      <c r="O279" s="15">
        <f>IF(COUNT(N274:N279)&lt;6,SUM(N274:N279),SUM(N274:N279)-MIN(N274:N279))</f>
        <v>0</v>
      </c>
      <c r="P279" s="8" t="s">
        <v>11</v>
      </c>
    </row>
    <row r="280" spans="1:17" ht="16.5" thickTop="1" thickBot="1">
      <c r="A280" s="13">
        <f>szkoły!D74</f>
        <v>0</v>
      </c>
      <c r="B280" s="113" t="s">
        <v>6</v>
      </c>
      <c r="C280" s="25" t="s">
        <v>3</v>
      </c>
      <c r="D280" s="27" t="s">
        <v>7</v>
      </c>
      <c r="E280" s="28" t="s">
        <v>8</v>
      </c>
      <c r="F280" s="27" t="s">
        <v>7</v>
      </c>
      <c r="G280" s="27" t="s">
        <v>5</v>
      </c>
      <c r="H280" s="27" t="s">
        <v>7</v>
      </c>
      <c r="I280" s="27" t="s">
        <v>0</v>
      </c>
      <c r="J280" s="27" t="s">
        <v>7</v>
      </c>
      <c r="K280" s="29" t="s">
        <v>2</v>
      </c>
      <c r="L280" s="27" t="s">
        <v>7</v>
      </c>
      <c r="M280" s="26" t="s">
        <v>9</v>
      </c>
      <c r="N280" s="26" t="s">
        <v>10</v>
      </c>
      <c r="O280" s="14"/>
      <c r="P280" s="9"/>
    </row>
    <row r="281" spans="1:17" ht="18" thickTop="1" thickBot="1">
      <c r="A281" s="10"/>
      <c r="B281" s="114">
        <f>szkoły!D75</f>
        <v>0</v>
      </c>
      <c r="C281" s="103"/>
      <c r="D281" s="104">
        <f>IF(C281&gt;="",0,IF(C281&gt;=11.61,0,IF(C281&lt;6.91,(200+(6.91-C281)*100),VLOOKUP(-C281,baza!$E:$F,2,1))))</f>
        <v>0</v>
      </c>
      <c r="E281" s="103"/>
      <c r="F281" s="104">
        <f>IF(E281&lt;18,0,IF(E281&gt;104,(200+(E281-104)*4),VLOOKUP(E281,baza!$C$3:$F$202,4,1)))</f>
        <v>0</v>
      </c>
      <c r="G281" s="105"/>
      <c r="H281" s="104">
        <f>IF(G281&lt;baza!$I$202,0,IF(G281&gt;baza!$I$3,(200+(G281-206)*2),VLOOKUP(G281,baza!$I:$J,2,0)))</f>
        <v>0</v>
      </c>
      <c r="I281" s="105"/>
      <c r="J281" s="104">
        <f>IF(I281&lt;210,0,IF(I281&gt;712,(200+I281-712),VLOOKUP(I281,baza!$B$3:$F$202,5,1)))</f>
        <v>0</v>
      </c>
      <c r="K281" s="106"/>
      <c r="L281" s="104">
        <f>IF(K281="",0,IF(K281&gt;(-1*baza!$D$3),0,IF(K281&lt;232.3,INT(200+(232.3-K281)*3),VLOOKUP(-K281,baza!$D$1:$F$203,3,1))))</f>
        <v>0</v>
      </c>
      <c r="M281" s="107">
        <f t="shared" ref="M281:M286" si="78">(D281+F281+H281+J281)</f>
        <v>0</v>
      </c>
      <c r="N281" s="108">
        <f t="shared" ref="N281:N286" si="79">M281+L281</f>
        <v>0</v>
      </c>
      <c r="O281" s="14"/>
      <c r="P281" s="9"/>
    </row>
    <row r="282" spans="1:17" ht="18" thickTop="1" thickBot="1">
      <c r="A282" s="30" t="str">
        <f>O285 &amp;"  " &amp;"I dzień"</f>
        <v>0  I dzień</v>
      </c>
      <c r="B282" s="114">
        <f>szkoły!D76</f>
        <v>0</v>
      </c>
      <c r="C282" s="103"/>
      <c r="D282" s="104">
        <f>IF(C282&gt;="",0,IF(C282&gt;=11.61,0,IF(C282&lt;6.91,(200+(6.91-C282)*100),VLOOKUP(-C282,baza!$E:$F,2,1))))</f>
        <v>0</v>
      </c>
      <c r="E282" s="103"/>
      <c r="F282" s="104">
        <f>IF(E282&lt;18,0,IF(E282&gt;104,(200+(E282-104)*4),VLOOKUP(E282,baza!$C$3:$F$202,4,1)))</f>
        <v>0</v>
      </c>
      <c r="G282" s="105"/>
      <c r="H282" s="104">
        <f>IF(G282&lt;baza!$I$202,0,IF(G282&gt;baza!$I$3,(200+(G282-206)*2),VLOOKUP(G282,baza!$I:$J,2,0)))</f>
        <v>0</v>
      </c>
      <c r="I282" s="105"/>
      <c r="J282" s="104">
        <f>IF(I282&lt;210,0,IF(I282&gt;712,(200+I282-712),VLOOKUP(I282,baza!$B$3:$F$202,5,1)))</f>
        <v>0</v>
      </c>
      <c r="K282" s="106"/>
      <c r="L282" s="104">
        <f>IF(K282="",0,IF(K282&gt;(-1*baza!$D$3),0,IF(K282&lt;232.3,INT(200+(232.3-K282)*3),VLOOKUP(-K282,baza!$D$1:$F$203,3,1))))</f>
        <v>0</v>
      </c>
      <c r="M282" s="107">
        <f t="shared" si="78"/>
        <v>0</v>
      </c>
      <c r="N282" s="108">
        <f t="shared" si="79"/>
        <v>0</v>
      </c>
      <c r="O282" s="14"/>
      <c r="P282" s="9"/>
    </row>
    <row r="283" spans="1:17" ht="18" thickTop="1" thickBot="1">
      <c r="A283" s="30" t="str">
        <f>O286 &amp;"  " &amp;"II dzień"</f>
        <v>0  II dzień</v>
      </c>
      <c r="B283" s="114">
        <f>szkoły!D77</f>
        <v>0</v>
      </c>
      <c r="C283" s="103"/>
      <c r="D283" s="104">
        <f>IF(C283&gt;="",0,IF(C283&gt;=11.61,0,IF(C283&lt;6.91,(200+(6.91-C283)*100),VLOOKUP(-C283,baza!$E:$F,2,1))))</f>
        <v>0</v>
      </c>
      <c r="E283" s="103"/>
      <c r="F283" s="104">
        <f>IF(E283&lt;18,0,IF(E283&gt;104,(200+(E283-104)*4),VLOOKUP(E283,baza!$C$3:$F$202,4,1)))</f>
        <v>0</v>
      </c>
      <c r="G283" s="105"/>
      <c r="H283" s="104">
        <f>IF(G283&lt;baza!$I$202,0,IF(G283&gt;baza!$I$3,(200+(G283-206)*2),VLOOKUP(G283,baza!$I:$J,2,0)))</f>
        <v>0</v>
      </c>
      <c r="I283" s="105"/>
      <c r="J283" s="104">
        <f>IF(I283&lt;210,0,IF(I283&gt;712,(200+I283-712),VLOOKUP(I283,baza!$B$3:$F$202,5,1)))</f>
        <v>0</v>
      </c>
      <c r="K283" s="106"/>
      <c r="L283" s="104">
        <f>IF(K283="",0,IF(K283&gt;(-1*baza!$D$3),0,IF(K283&lt;232.3,INT(200+(232.3-K283)*3),VLOOKUP(-K283,baza!$D$1:$F$203,3,1))))</f>
        <v>0</v>
      </c>
      <c r="M283" s="107">
        <f t="shared" si="78"/>
        <v>0</v>
      </c>
      <c r="N283" s="108">
        <f t="shared" si="79"/>
        <v>0</v>
      </c>
      <c r="O283" s="14"/>
      <c r="P283" s="9"/>
    </row>
    <row r="284" spans="1:17" ht="18" thickTop="1" thickBot="1">
      <c r="A284" s="10"/>
      <c r="B284" s="114">
        <f>szkoły!D78</f>
        <v>0</v>
      </c>
      <c r="C284" s="103"/>
      <c r="D284" s="104">
        <f>IF(C284&gt;="",0,IF(C284&gt;=11.61,0,IF(C284&lt;6.91,(200+(6.91-C284)*100),VLOOKUP(-C284,baza!$E:$F,2,1))))</f>
        <v>0</v>
      </c>
      <c r="E284" s="103"/>
      <c r="F284" s="104">
        <f>IF(E284&lt;18,0,IF(E284&gt;104,(200+(E284-104)*4),VLOOKUP(E284,baza!$C$3:$F$202,4,1)))</f>
        <v>0</v>
      </c>
      <c r="G284" s="105"/>
      <c r="H284" s="104">
        <f>IF(G284&lt;baza!$I$202,0,IF(G284&gt;baza!$I$3,(200+(G284-206)*2),VLOOKUP(G284,baza!$I:$J,2,0)))</f>
        <v>0</v>
      </c>
      <c r="I284" s="105"/>
      <c r="J284" s="104">
        <f>IF(I284&lt;210,0,IF(I284&gt;712,(200+I284-712),VLOOKUP(I284,baza!$B$3:$F$202,5,1)))</f>
        <v>0</v>
      </c>
      <c r="K284" s="106"/>
      <c r="L284" s="104">
        <f>IF(K284="",0,IF(K284&gt;(-1*baza!$D$3),0,IF(K284&lt;232.3,INT(200+(232.3-K284)*3),VLOOKUP(-K284,baza!$D$1:$F$203,3,1))))</f>
        <v>0</v>
      </c>
      <c r="M284" s="107">
        <f t="shared" si="78"/>
        <v>0</v>
      </c>
      <c r="N284" s="108">
        <f t="shared" si="79"/>
        <v>0</v>
      </c>
      <c r="O284" s="14"/>
      <c r="P284" s="9"/>
    </row>
    <row r="285" spans="1:17" ht="18" thickTop="1" thickBot="1">
      <c r="A285" s="10"/>
      <c r="B285" s="114">
        <f>szkoły!D79</f>
        <v>0</v>
      </c>
      <c r="C285" s="103"/>
      <c r="D285" s="104">
        <f>IF(C285&gt;="",0,IF(C285&gt;=11.61,0,IF(C285&lt;6.91,(200+(6.91-C285)*100),VLOOKUP(-C285,baza!$E:$F,2,1))))</f>
        <v>0</v>
      </c>
      <c r="E285" s="103"/>
      <c r="F285" s="104">
        <f>IF(E285&lt;18,0,IF(E285&gt;104,(200+(E285-104)*4),VLOOKUP(E285,baza!$C$3:$F$202,4,1)))</f>
        <v>0</v>
      </c>
      <c r="G285" s="105"/>
      <c r="H285" s="104">
        <f>IF(G285&lt;baza!$I$202,0,IF(G285&gt;baza!$I$3,(200+(G285-206)*2),VLOOKUP(G285,baza!$I:$J,2,0)))</f>
        <v>0</v>
      </c>
      <c r="I285" s="105"/>
      <c r="J285" s="104">
        <f>IF(I285&lt;210,0,IF(I285&gt;712,(200+I285-712),VLOOKUP(I285,baza!$B$3:$F$202,5,1)))</f>
        <v>0</v>
      </c>
      <c r="K285" s="106"/>
      <c r="L285" s="104">
        <f>IF(K285="",0,IF(K285&gt;(-1*baza!$D$3),0,IF(K285&lt;232.3,INT(200+(232.3-K285)*3),VLOOKUP(-K285,baza!$D$1:$F$203,3,1))))</f>
        <v>0</v>
      </c>
      <c r="M285" s="107">
        <f t="shared" si="78"/>
        <v>0</v>
      </c>
      <c r="N285" s="108">
        <f t="shared" si="79"/>
        <v>0</v>
      </c>
      <c r="O285" s="15">
        <f>SUM(M281:M286)</f>
        <v>0</v>
      </c>
      <c r="P285" s="8" t="s">
        <v>9</v>
      </c>
    </row>
    <row r="286" spans="1:17" ht="18" thickTop="1" thickBot="1">
      <c r="A286" s="12"/>
      <c r="B286" s="114">
        <f>szkoły!D80</f>
        <v>0</v>
      </c>
      <c r="C286" s="103"/>
      <c r="D286" s="104">
        <f>IF(C286&gt;="",0,IF(C286&gt;=11.61,0,IF(C286&lt;6.91,(200+(6.91-C286)*100),VLOOKUP(-C286,baza!$E:$F,2,1))))</f>
        <v>0</v>
      </c>
      <c r="E286" s="103"/>
      <c r="F286" s="104">
        <f>IF(E286&lt;18,0,IF(E286&gt;104,(200+(E286-104)*4),VLOOKUP(E286,baza!$C$3:$F$202,4,1)))</f>
        <v>0</v>
      </c>
      <c r="G286" s="105"/>
      <c r="H286" s="104">
        <f>IF(G286&lt;baza!$I$202,0,IF(G286&gt;baza!$I$3,(200+(G286-206)*2),VLOOKUP(G286,baza!$I:$J,2,0)))</f>
        <v>0</v>
      </c>
      <c r="I286" s="105"/>
      <c r="J286" s="104">
        <f>IF(I286&lt;210,0,IF(I286&gt;712,(200+I286-712),VLOOKUP(I286,baza!$B$3:$F$202,5,1)))</f>
        <v>0</v>
      </c>
      <c r="K286" s="106"/>
      <c r="L286" s="104">
        <f>IF(K286="",0,IF(K286&gt;(-1*baza!$D$3),0,IF(K286&lt;232.3,INT(200+(232.3-K286)*3),VLOOKUP(-K286,baza!$D$1:$F$203,3,1))))</f>
        <v>0</v>
      </c>
      <c r="M286" s="107">
        <f t="shared" si="78"/>
        <v>0</v>
      </c>
      <c r="N286" s="108">
        <f t="shared" si="79"/>
        <v>0</v>
      </c>
      <c r="O286" s="15">
        <f>IF(COUNT(N281:N286)&lt;6,SUM(N281:N286),SUM(N281:N286)-MIN(N281:N286))</f>
        <v>0</v>
      </c>
      <c r="P286" s="8" t="s">
        <v>11</v>
      </c>
    </row>
    <row r="287" spans="1:17" ht="15.75" thickTop="1">
      <c r="A287" s="11"/>
      <c r="B287" s="115"/>
      <c r="C287" s="109"/>
      <c r="D287" s="110"/>
      <c r="E287" s="110"/>
      <c r="F287" s="110"/>
      <c r="G287" s="110"/>
      <c r="H287" s="110"/>
      <c r="I287" s="110"/>
      <c r="J287" s="110"/>
      <c r="K287" s="110"/>
      <c r="L287" s="110"/>
      <c r="M287" s="109"/>
      <c r="N287" s="109"/>
      <c r="O287" s="16"/>
      <c r="P287" s="11"/>
      <c r="Q287" s="11"/>
    </row>
    <row r="288" spans="1:17">
      <c r="A288" s="11"/>
      <c r="B288" s="115"/>
      <c r="C288" s="109"/>
      <c r="D288" s="110"/>
      <c r="E288" s="110"/>
      <c r="F288" s="110"/>
      <c r="G288" s="110"/>
      <c r="H288" s="110"/>
      <c r="I288" s="110"/>
      <c r="J288" s="110"/>
      <c r="K288" s="110"/>
      <c r="L288" s="110"/>
      <c r="M288" s="109"/>
      <c r="N288" s="109"/>
      <c r="O288" s="16"/>
      <c r="P288" s="11"/>
      <c r="Q288" s="11"/>
    </row>
    <row r="289" spans="1:16">
      <c r="A289" s="9"/>
      <c r="B289" s="116"/>
      <c r="C289" s="111"/>
      <c r="D289" s="102"/>
      <c r="E289" s="102"/>
      <c r="F289" s="102"/>
      <c r="G289" s="102"/>
      <c r="H289" s="102"/>
      <c r="I289" s="102"/>
      <c r="J289" s="102"/>
      <c r="K289" s="102"/>
      <c r="L289" s="102"/>
      <c r="M289" s="111"/>
      <c r="N289" s="111"/>
      <c r="O289" s="14"/>
      <c r="P289" s="9"/>
    </row>
    <row r="290" spans="1:16">
      <c r="A290" s="9"/>
      <c r="B290" s="116"/>
      <c r="C290" s="111"/>
      <c r="D290" s="102"/>
      <c r="E290" s="102"/>
      <c r="F290" s="102"/>
      <c r="G290" s="102"/>
      <c r="H290" s="102"/>
      <c r="I290" s="102"/>
      <c r="J290" s="102"/>
      <c r="K290" s="102"/>
      <c r="L290" s="102"/>
      <c r="M290" s="111"/>
      <c r="N290" s="111"/>
      <c r="O290" s="14"/>
      <c r="P290" s="9"/>
    </row>
    <row r="291" spans="1:16">
      <c r="A291" s="9"/>
      <c r="B291" s="116"/>
      <c r="C291" s="111"/>
      <c r="D291" s="102"/>
      <c r="E291" s="102"/>
      <c r="F291" s="102"/>
      <c r="G291" s="102"/>
      <c r="H291" s="102"/>
      <c r="I291" s="102"/>
      <c r="J291" s="102"/>
      <c r="K291" s="102"/>
      <c r="L291" s="102"/>
      <c r="M291" s="111"/>
      <c r="N291" s="111"/>
      <c r="O291" s="14"/>
      <c r="P291" s="9"/>
    </row>
    <row r="292" spans="1:16">
      <c r="A292" s="9"/>
      <c r="B292" s="116"/>
      <c r="C292" s="111"/>
      <c r="D292" s="102"/>
      <c r="E292" s="102"/>
      <c r="F292" s="102"/>
      <c r="G292" s="102"/>
      <c r="H292" s="102"/>
      <c r="I292" s="102"/>
      <c r="J292" s="102"/>
      <c r="K292" s="102"/>
      <c r="L292" s="102"/>
      <c r="M292" s="111"/>
      <c r="N292" s="111"/>
      <c r="O292" s="14"/>
      <c r="P292" s="9"/>
    </row>
    <row r="293" spans="1:16">
      <c r="A293" s="9"/>
      <c r="B293" s="116"/>
      <c r="C293" s="111"/>
      <c r="D293" s="102"/>
      <c r="E293" s="102"/>
      <c r="F293" s="102"/>
      <c r="G293" s="102"/>
      <c r="H293" s="102"/>
      <c r="I293" s="102"/>
      <c r="J293" s="102"/>
      <c r="K293" s="102"/>
      <c r="L293" s="102"/>
      <c r="M293" s="111"/>
      <c r="N293" s="111"/>
      <c r="O293" s="14"/>
      <c r="P293" s="9"/>
    </row>
    <row r="294" spans="1:16">
      <c r="A294" s="9"/>
      <c r="B294" s="116"/>
      <c r="C294" s="111"/>
      <c r="D294" s="102"/>
      <c r="E294" s="102"/>
      <c r="F294" s="102"/>
      <c r="G294" s="102"/>
      <c r="H294" s="102"/>
      <c r="I294" s="102"/>
      <c r="J294" s="102"/>
      <c r="K294" s="102"/>
      <c r="L294" s="102"/>
      <c r="M294" s="111"/>
      <c r="N294" s="111"/>
      <c r="O294" s="14"/>
      <c r="P294" s="9"/>
    </row>
    <row r="295" spans="1:16">
      <c r="A295" s="9"/>
      <c r="B295" s="116"/>
      <c r="C295" s="111"/>
      <c r="D295" s="102"/>
      <c r="E295" s="102"/>
      <c r="F295" s="102"/>
      <c r="G295" s="102"/>
      <c r="H295" s="102"/>
      <c r="I295" s="102"/>
      <c r="J295" s="102"/>
      <c r="K295" s="102"/>
      <c r="L295" s="102"/>
      <c r="M295" s="111"/>
      <c r="N295" s="111"/>
      <c r="O295" s="14"/>
      <c r="P295" s="9"/>
    </row>
    <row r="296" spans="1:16">
      <c r="A296" s="9"/>
      <c r="B296" s="116"/>
      <c r="C296" s="111"/>
      <c r="D296" s="102"/>
      <c r="E296" s="102"/>
      <c r="F296" s="102"/>
      <c r="G296" s="102"/>
      <c r="H296" s="102"/>
      <c r="I296" s="102"/>
      <c r="J296" s="102"/>
      <c r="K296" s="102"/>
      <c r="L296" s="102"/>
      <c r="M296" s="111"/>
      <c r="N296" s="111"/>
      <c r="O296" s="14"/>
      <c r="P296" s="9"/>
    </row>
    <row r="297" spans="1:16">
      <c r="A297" s="9"/>
      <c r="B297" s="116"/>
      <c r="C297" s="111"/>
      <c r="D297" s="102"/>
      <c r="E297" s="102"/>
      <c r="F297" s="102"/>
      <c r="G297" s="102"/>
      <c r="H297" s="102"/>
      <c r="I297" s="102"/>
      <c r="J297" s="102"/>
      <c r="K297" s="102"/>
      <c r="L297" s="102"/>
      <c r="M297" s="111"/>
      <c r="N297" s="111"/>
      <c r="O297" s="14"/>
      <c r="P297" s="9"/>
    </row>
    <row r="298" spans="1:16">
      <c r="A298" s="9"/>
      <c r="B298" s="116"/>
      <c r="C298" s="111"/>
      <c r="D298" s="102"/>
      <c r="E298" s="102"/>
      <c r="F298" s="102"/>
      <c r="G298" s="102"/>
      <c r="H298" s="102"/>
      <c r="I298" s="102"/>
      <c r="J298" s="102"/>
      <c r="K298" s="102"/>
      <c r="L298" s="102"/>
      <c r="M298" s="111"/>
      <c r="N298" s="111"/>
      <c r="O298" s="14"/>
      <c r="P298" s="9"/>
    </row>
    <row r="299" spans="1:16">
      <c r="A299" s="9"/>
      <c r="B299" s="116"/>
      <c r="C299" s="111"/>
      <c r="D299" s="102"/>
      <c r="E299" s="102"/>
      <c r="F299" s="102"/>
      <c r="G299" s="102"/>
      <c r="H299" s="102"/>
      <c r="I299" s="102"/>
      <c r="J299" s="102"/>
      <c r="K299" s="102"/>
      <c r="L299" s="102"/>
      <c r="M299" s="111"/>
      <c r="N299" s="111"/>
      <c r="O299" s="14"/>
      <c r="P299" s="9"/>
    </row>
    <row r="300" spans="1:16">
      <c r="A300" s="9"/>
      <c r="B300" s="116"/>
      <c r="C300" s="111"/>
      <c r="D300" s="102"/>
      <c r="E300" s="102"/>
      <c r="F300" s="102"/>
      <c r="G300" s="102"/>
      <c r="H300" s="102"/>
      <c r="I300" s="102"/>
      <c r="J300" s="102"/>
      <c r="K300" s="102"/>
      <c r="L300" s="102"/>
      <c r="M300" s="111"/>
      <c r="N300" s="111"/>
      <c r="O300" s="14"/>
      <c r="P300" s="9"/>
    </row>
    <row r="301" spans="1:16">
      <c r="A301" s="9"/>
      <c r="B301" s="116"/>
      <c r="C301" s="111"/>
      <c r="D301" s="102"/>
      <c r="E301" s="102"/>
      <c r="F301" s="102"/>
      <c r="G301" s="102"/>
      <c r="H301" s="102"/>
      <c r="I301" s="102"/>
      <c r="J301" s="102"/>
      <c r="K301" s="102"/>
      <c r="L301" s="102"/>
      <c r="M301" s="111"/>
      <c r="N301" s="111"/>
      <c r="O301" s="14"/>
      <c r="P301" s="9"/>
    </row>
    <row r="302" spans="1:16">
      <c r="A302" s="9"/>
      <c r="B302" s="116"/>
      <c r="C302" s="111"/>
      <c r="D302" s="102"/>
      <c r="E302" s="102"/>
      <c r="F302" s="102"/>
      <c r="G302" s="102"/>
      <c r="H302" s="102"/>
      <c r="I302" s="102"/>
      <c r="J302" s="102"/>
      <c r="K302" s="102"/>
      <c r="L302" s="102"/>
      <c r="M302" s="111"/>
      <c r="N302" s="111"/>
      <c r="O302" s="14"/>
      <c r="P302" s="9"/>
    </row>
    <row r="303" spans="1:16">
      <c r="A303" s="9"/>
      <c r="B303" s="116"/>
      <c r="C303" s="111"/>
      <c r="D303" s="102"/>
      <c r="E303" s="102"/>
      <c r="F303" s="102"/>
      <c r="G303" s="102"/>
      <c r="H303" s="102"/>
      <c r="I303" s="102"/>
      <c r="J303" s="102"/>
      <c r="K303" s="102"/>
      <c r="L303" s="102"/>
      <c r="M303" s="111"/>
      <c r="N303" s="111"/>
      <c r="O303" s="14"/>
      <c r="P303" s="9"/>
    </row>
    <row r="304" spans="1:16">
      <c r="A304" s="9"/>
      <c r="B304" s="116"/>
      <c r="C304" s="111"/>
      <c r="D304" s="102"/>
      <c r="E304" s="102"/>
      <c r="F304" s="102"/>
      <c r="G304" s="102"/>
      <c r="H304" s="102"/>
      <c r="I304" s="102"/>
      <c r="J304" s="102"/>
      <c r="K304" s="102"/>
      <c r="L304" s="102"/>
      <c r="M304" s="111"/>
      <c r="N304" s="111"/>
      <c r="O304" s="14"/>
      <c r="P304" s="9"/>
    </row>
    <row r="305" spans="1:16">
      <c r="A305" s="9"/>
      <c r="B305" s="116"/>
      <c r="C305" s="111"/>
      <c r="D305" s="102"/>
      <c r="E305" s="102"/>
      <c r="F305" s="102"/>
      <c r="G305" s="102"/>
      <c r="H305" s="102"/>
      <c r="I305" s="102"/>
      <c r="J305" s="102"/>
      <c r="K305" s="102"/>
      <c r="L305" s="102"/>
      <c r="M305" s="111"/>
      <c r="N305" s="111"/>
      <c r="O305" s="14"/>
      <c r="P305" s="9"/>
    </row>
    <row r="306" spans="1:16">
      <c r="A306" s="9"/>
      <c r="B306" s="116"/>
      <c r="C306" s="111"/>
      <c r="D306" s="102"/>
      <c r="E306" s="102"/>
      <c r="F306" s="102"/>
      <c r="G306" s="102"/>
      <c r="H306" s="102"/>
      <c r="I306" s="102"/>
      <c r="J306" s="102"/>
      <c r="K306" s="102"/>
      <c r="L306" s="102"/>
      <c r="M306" s="111"/>
      <c r="N306" s="111"/>
      <c r="O306" s="14"/>
      <c r="P306" s="9"/>
    </row>
    <row r="307" spans="1:16">
      <c r="A307" s="9"/>
      <c r="B307" s="116"/>
      <c r="C307" s="111"/>
      <c r="D307" s="102"/>
      <c r="E307" s="102"/>
      <c r="F307" s="102"/>
      <c r="G307" s="102"/>
      <c r="H307" s="102"/>
      <c r="I307" s="102"/>
      <c r="J307" s="102"/>
      <c r="K307" s="102"/>
      <c r="L307" s="102"/>
      <c r="M307" s="111"/>
      <c r="N307" s="111"/>
      <c r="O307" s="14"/>
      <c r="P307" s="9"/>
    </row>
    <row r="308" spans="1:16">
      <c r="A308" s="9"/>
      <c r="B308" s="116"/>
      <c r="C308" s="111"/>
      <c r="D308" s="102"/>
      <c r="E308" s="102"/>
      <c r="F308" s="102"/>
      <c r="G308" s="102"/>
      <c r="H308" s="102"/>
      <c r="I308" s="102"/>
      <c r="J308" s="102"/>
      <c r="K308" s="102"/>
      <c r="L308" s="102"/>
      <c r="M308" s="111"/>
      <c r="N308" s="111"/>
      <c r="O308" s="14"/>
      <c r="P308" s="9"/>
    </row>
    <row r="309" spans="1:16">
      <c r="A309" s="9"/>
      <c r="B309" s="116"/>
      <c r="C309" s="111"/>
      <c r="D309" s="102"/>
      <c r="E309" s="102"/>
      <c r="F309" s="102"/>
      <c r="G309" s="102"/>
      <c r="H309" s="102"/>
      <c r="I309" s="102"/>
      <c r="J309" s="102"/>
      <c r="K309" s="102"/>
      <c r="L309" s="102"/>
      <c r="M309" s="111"/>
      <c r="N309" s="111"/>
      <c r="O309" s="14"/>
      <c r="P309" s="9"/>
    </row>
    <row r="310" spans="1:16">
      <c r="A310" s="9"/>
      <c r="B310" s="116"/>
      <c r="C310" s="111"/>
      <c r="D310" s="102"/>
      <c r="E310" s="102"/>
      <c r="F310" s="102"/>
      <c r="G310" s="102"/>
      <c r="H310" s="102"/>
      <c r="I310" s="102"/>
      <c r="J310" s="102"/>
      <c r="K310" s="102"/>
      <c r="L310" s="102"/>
      <c r="M310" s="111"/>
      <c r="N310" s="111"/>
      <c r="O310" s="14"/>
      <c r="P310" s="9"/>
    </row>
    <row r="311" spans="1:16">
      <c r="A311" s="9"/>
      <c r="B311" s="116"/>
      <c r="C311" s="111"/>
      <c r="D311" s="102"/>
      <c r="E311" s="102"/>
      <c r="F311" s="102"/>
      <c r="G311" s="102"/>
      <c r="H311" s="102"/>
      <c r="I311" s="102"/>
      <c r="J311" s="102"/>
      <c r="K311" s="102"/>
      <c r="L311" s="102"/>
      <c r="M311" s="111"/>
      <c r="N311" s="111"/>
      <c r="O311" s="14"/>
      <c r="P311" s="9"/>
    </row>
    <row r="312" spans="1:16">
      <c r="A312" s="9"/>
      <c r="B312" s="116"/>
      <c r="C312" s="111"/>
      <c r="D312" s="102"/>
      <c r="E312" s="102"/>
      <c r="F312" s="102"/>
      <c r="G312" s="102"/>
      <c r="H312" s="102"/>
      <c r="I312" s="102"/>
      <c r="J312" s="102"/>
      <c r="K312" s="102"/>
      <c r="L312" s="102"/>
      <c r="M312" s="111"/>
      <c r="N312" s="111"/>
      <c r="O312" s="14"/>
      <c r="P312" s="9"/>
    </row>
    <row r="313" spans="1:16">
      <c r="A313" s="9"/>
      <c r="B313" s="116"/>
      <c r="C313" s="111"/>
      <c r="D313" s="102"/>
      <c r="E313" s="102"/>
      <c r="F313" s="102"/>
      <c r="G313" s="102"/>
      <c r="H313" s="102"/>
      <c r="I313" s="102"/>
      <c r="J313" s="102"/>
      <c r="K313" s="102"/>
      <c r="L313" s="102"/>
      <c r="M313" s="111"/>
      <c r="N313" s="111"/>
      <c r="O313" s="14"/>
      <c r="P313" s="9"/>
    </row>
    <row r="314" spans="1:16">
      <c r="A314" s="9"/>
      <c r="B314" s="116"/>
      <c r="C314" s="111"/>
      <c r="D314" s="102"/>
      <c r="E314" s="102"/>
      <c r="F314" s="102"/>
      <c r="G314" s="102"/>
      <c r="H314" s="102"/>
      <c r="I314" s="102"/>
      <c r="J314" s="102"/>
      <c r="K314" s="102"/>
      <c r="L314" s="102"/>
      <c r="M314" s="111"/>
      <c r="N314" s="111"/>
      <c r="O314" s="14"/>
      <c r="P314" s="9"/>
    </row>
    <row r="315" spans="1:16">
      <c r="A315" s="9"/>
      <c r="B315" s="116"/>
      <c r="C315" s="111"/>
      <c r="D315" s="102"/>
      <c r="E315" s="102"/>
      <c r="F315" s="102"/>
      <c r="G315" s="102"/>
      <c r="H315" s="102"/>
      <c r="I315" s="102"/>
      <c r="J315" s="102"/>
      <c r="K315" s="102"/>
      <c r="L315" s="102"/>
      <c r="M315" s="111"/>
      <c r="N315" s="111"/>
      <c r="O315" s="14"/>
      <c r="P315" s="9"/>
    </row>
    <row r="316" spans="1:16">
      <c r="A316" s="9"/>
      <c r="B316" s="116"/>
      <c r="C316" s="111"/>
      <c r="D316" s="102"/>
      <c r="E316" s="102"/>
      <c r="F316" s="102"/>
      <c r="G316" s="102"/>
      <c r="H316" s="102"/>
      <c r="I316" s="102"/>
      <c r="J316" s="102"/>
      <c r="K316" s="102"/>
      <c r="L316" s="102"/>
      <c r="M316" s="111"/>
      <c r="N316" s="111"/>
      <c r="O316" s="14"/>
      <c r="P316" s="9"/>
    </row>
    <row r="317" spans="1:16">
      <c r="A317" s="9"/>
      <c r="B317" s="116"/>
      <c r="C317" s="111"/>
      <c r="D317" s="102"/>
      <c r="E317" s="102"/>
      <c r="F317" s="102"/>
      <c r="G317" s="102"/>
      <c r="H317" s="102"/>
      <c r="I317" s="102"/>
      <c r="J317" s="102"/>
      <c r="K317" s="102"/>
      <c r="L317" s="102"/>
      <c r="M317" s="111"/>
      <c r="N317" s="111"/>
      <c r="O317" s="14"/>
      <c r="P317" s="9"/>
    </row>
    <row r="318" spans="1:16">
      <c r="A318" s="9"/>
      <c r="B318" s="116"/>
      <c r="C318" s="111"/>
      <c r="D318" s="102"/>
      <c r="E318" s="102"/>
      <c r="F318" s="102"/>
      <c r="G318" s="102"/>
      <c r="H318" s="102"/>
      <c r="I318" s="102"/>
      <c r="J318" s="102"/>
      <c r="K318" s="102"/>
      <c r="L318" s="102"/>
      <c r="M318" s="111"/>
      <c r="N318" s="111"/>
      <c r="O318" s="14"/>
      <c r="P318" s="9"/>
    </row>
    <row r="319" spans="1:16">
      <c r="A319" s="9"/>
      <c r="B319" s="116"/>
      <c r="C319" s="111"/>
      <c r="D319" s="102"/>
      <c r="E319" s="102"/>
      <c r="F319" s="102"/>
      <c r="G319" s="102"/>
      <c r="H319" s="102"/>
      <c r="I319" s="102"/>
      <c r="J319" s="102"/>
      <c r="K319" s="102"/>
      <c r="L319" s="102"/>
      <c r="M319" s="111"/>
      <c r="N319" s="111"/>
      <c r="O319" s="14"/>
      <c r="P319" s="9"/>
    </row>
    <row r="320" spans="1:16">
      <c r="A320" s="9"/>
      <c r="B320" s="116"/>
      <c r="C320" s="111"/>
      <c r="D320" s="102"/>
      <c r="E320" s="102"/>
      <c r="F320" s="102"/>
      <c r="G320" s="102"/>
      <c r="H320" s="102"/>
      <c r="I320" s="102"/>
      <c r="J320" s="102"/>
      <c r="K320" s="102"/>
      <c r="L320" s="102"/>
      <c r="M320" s="111"/>
      <c r="N320" s="111"/>
      <c r="O320" s="14"/>
      <c r="P320" s="9"/>
    </row>
    <row r="321" spans="1:16">
      <c r="A321" s="9"/>
      <c r="B321" s="116"/>
      <c r="C321" s="111"/>
      <c r="D321" s="102"/>
      <c r="E321" s="102"/>
      <c r="F321" s="102"/>
      <c r="G321" s="102"/>
      <c r="H321" s="102"/>
      <c r="I321" s="102"/>
      <c r="J321" s="102"/>
      <c r="K321" s="102"/>
      <c r="L321" s="102"/>
      <c r="M321" s="111"/>
      <c r="N321" s="111"/>
      <c r="O321" s="14"/>
      <c r="P321" s="9"/>
    </row>
    <row r="322" spans="1:16">
      <c r="A322" s="9"/>
      <c r="B322" s="116"/>
      <c r="C322" s="111"/>
      <c r="D322" s="102"/>
      <c r="E322" s="102"/>
      <c r="F322" s="102"/>
      <c r="G322" s="102"/>
      <c r="H322" s="102"/>
      <c r="I322" s="102"/>
      <c r="J322" s="102"/>
      <c r="K322" s="102"/>
      <c r="L322" s="102"/>
      <c r="M322" s="111"/>
      <c r="N322" s="111"/>
      <c r="O322" s="14"/>
      <c r="P322" s="9"/>
    </row>
    <row r="323" spans="1:16">
      <c r="A323" s="9"/>
      <c r="B323" s="116"/>
      <c r="C323" s="111"/>
      <c r="D323" s="102"/>
      <c r="E323" s="102"/>
      <c r="F323" s="102"/>
      <c r="G323" s="102"/>
      <c r="H323" s="102"/>
      <c r="I323" s="102"/>
      <c r="J323" s="102"/>
      <c r="K323" s="102"/>
      <c r="L323" s="102"/>
      <c r="M323" s="111"/>
      <c r="N323" s="111"/>
      <c r="O323" s="14"/>
      <c r="P323" s="9"/>
    </row>
    <row r="324" spans="1:16">
      <c r="A324" s="9"/>
      <c r="B324" s="116"/>
      <c r="C324" s="111"/>
      <c r="D324" s="102"/>
      <c r="E324" s="102"/>
      <c r="F324" s="102"/>
      <c r="G324" s="102"/>
      <c r="H324" s="102"/>
      <c r="I324" s="102"/>
      <c r="J324" s="102"/>
      <c r="K324" s="102"/>
      <c r="L324" s="102"/>
      <c r="M324" s="111"/>
      <c r="N324" s="111"/>
      <c r="O324" s="14"/>
      <c r="P324" s="9"/>
    </row>
    <row r="325" spans="1:16">
      <c r="A325" s="9"/>
      <c r="B325" s="116"/>
      <c r="C325" s="111"/>
      <c r="D325" s="102"/>
      <c r="E325" s="102"/>
      <c r="F325" s="102"/>
      <c r="G325" s="102"/>
      <c r="H325" s="102"/>
      <c r="I325" s="102"/>
      <c r="J325" s="102"/>
      <c r="K325" s="102"/>
      <c r="L325" s="102"/>
      <c r="M325" s="111"/>
      <c r="N325" s="111"/>
      <c r="O325" s="14"/>
      <c r="P325" s="9"/>
    </row>
    <row r="326" spans="1:16">
      <c r="A326" s="9"/>
      <c r="B326" s="116"/>
      <c r="C326" s="111"/>
      <c r="D326" s="102"/>
      <c r="E326" s="102"/>
      <c r="F326" s="102"/>
      <c r="G326" s="102"/>
      <c r="H326" s="102"/>
      <c r="I326" s="102"/>
      <c r="J326" s="102"/>
      <c r="K326" s="102"/>
      <c r="L326" s="102"/>
      <c r="M326" s="111"/>
      <c r="N326" s="111"/>
      <c r="O326" s="14"/>
      <c r="P326" s="9"/>
    </row>
    <row r="327" spans="1:16">
      <c r="A327" s="9"/>
      <c r="B327" s="116"/>
      <c r="C327" s="111"/>
      <c r="D327" s="102"/>
      <c r="E327" s="102"/>
      <c r="F327" s="102"/>
      <c r="G327" s="102"/>
      <c r="H327" s="102"/>
      <c r="I327" s="102"/>
      <c r="J327" s="102"/>
      <c r="K327" s="102"/>
      <c r="L327" s="102"/>
      <c r="M327" s="111"/>
      <c r="N327" s="111"/>
      <c r="O327" s="14"/>
      <c r="P327" s="9"/>
    </row>
    <row r="328" spans="1:16">
      <c r="A328" s="9"/>
      <c r="B328" s="116"/>
      <c r="C328" s="111"/>
      <c r="D328" s="102"/>
      <c r="E328" s="102"/>
      <c r="F328" s="102"/>
      <c r="G328" s="102"/>
      <c r="H328" s="102"/>
      <c r="I328" s="102"/>
      <c r="J328" s="102"/>
      <c r="K328" s="102"/>
      <c r="L328" s="102"/>
      <c r="M328" s="111"/>
      <c r="N328" s="111"/>
      <c r="O328" s="14"/>
      <c r="P328" s="9"/>
    </row>
    <row r="329" spans="1:16">
      <c r="A329" s="9"/>
      <c r="B329" s="116"/>
      <c r="C329" s="111"/>
      <c r="D329" s="102"/>
      <c r="E329" s="102"/>
      <c r="F329" s="102"/>
      <c r="G329" s="102"/>
      <c r="H329" s="102"/>
      <c r="I329" s="102"/>
      <c r="J329" s="102"/>
      <c r="K329" s="102"/>
      <c r="L329" s="102"/>
      <c r="M329" s="111"/>
      <c r="N329" s="111"/>
      <c r="O329" s="14"/>
      <c r="P329" s="9"/>
    </row>
    <row r="330" spans="1:16">
      <c r="A330" s="9"/>
      <c r="B330" s="116"/>
      <c r="C330" s="111"/>
      <c r="D330" s="102"/>
      <c r="E330" s="102"/>
      <c r="F330" s="102"/>
      <c r="G330" s="102"/>
      <c r="H330" s="102"/>
      <c r="I330" s="102"/>
      <c r="J330" s="102"/>
      <c r="K330" s="102"/>
      <c r="L330" s="102"/>
      <c r="M330" s="111"/>
      <c r="N330" s="111"/>
      <c r="O330" s="14"/>
      <c r="P330" s="9"/>
    </row>
    <row r="331" spans="1:16">
      <c r="A331" s="9"/>
      <c r="B331" s="116"/>
      <c r="C331" s="111"/>
      <c r="D331" s="102"/>
      <c r="E331" s="102"/>
      <c r="F331" s="102"/>
      <c r="G331" s="102"/>
      <c r="H331" s="102"/>
      <c r="I331" s="102"/>
      <c r="J331" s="102"/>
      <c r="K331" s="102"/>
      <c r="L331" s="102"/>
      <c r="M331" s="111"/>
      <c r="N331" s="111"/>
      <c r="O331" s="14"/>
      <c r="P331" s="9"/>
    </row>
    <row r="332" spans="1:16">
      <c r="A332" s="9"/>
      <c r="B332" s="116"/>
      <c r="C332" s="111"/>
      <c r="D332" s="102"/>
      <c r="E332" s="102"/>
      <c r="F332" s="102"/>
      <c r="G332" s="102"/>
      <c r="H332" s="102"/>
      <c r="I332" s="102"/>
      <c r="J332" s="102"/>
      <c r="K332" s="102"/>
      <c r="L332" s="102"/>
      <c r="M332" s="111"/>
      <c r="N332" s="111"/>
      <c r="O332" s="14"/>
      <c r="P332" s="9"/>
    </row>
    <row r="333" spans="1:16">
      <c r="A333" s="9"/>
      <c r="B333" s="116"/>
      <c r="C333" s="111"/>
      <c r="D333" s="102"/>
      <c r="E333" s="102"/>
      <c r="F333" s="102"/>
      <c r="G333" s="102"/>
      <c r="H333" s="102"/>
      <c r="I333" s="102"/>
      <c r="J333" s="102"/>
      <c r="K333" s="102"/>
      <c r="L333" s="102"/>
      <c r="M333" s="111"/>
      <c r="N333" s="111"/>
      <c r="O333" s="14"/>
      <c r="P333" s="9"/>
    </row>
    <row r="334" spans="1:16">
      <c r="A334" s="9"/>
      <c r="B334" s="116"/>
      <c r="C334" s="111"/>
      <c r="D334" s="102"/>
      <c r="E334" s="102"/>
      <c r="F334" s="102"/>
      <c r="G334" s="102"/>
      <c r="H334" s="102"/>
      <c r="I334" s="102"/>
      <c r="J334" s="102"/>
      <c r="K334" s="102"/>
      <c r="L334" s="102"/>
      <c r="M334" s="111"/>
      <c r="N334" s="111"/>
      <c r="O334" s="14"/>
      <c r="P334" s="9"/>
    </row>
    <row r="335" spans="1:16">
      <c r="A335" s="9"/>
      <c r="B335" s="116"/>
      <c r="C335" s="111"/>
      <c r="D335" s="102"/>
      <c r="E335" s="102"/>
      <c r="F335" s="102"/>
      <c r="G335" s="102"/>
      <c r="H335" s="102"/>
      <c r="I335" s="102"/>
      <c r="J335" s="102"/>
      <c r="K335" s="102"/>
      <c r="L335" s="102"/>
      <c r="M335" s="111"/>
      <c r="N335" s="111"/>
      <c r="O335" s="14"/>
      <c r="P335" s="9"/>
    </row>
    <row r="336" spans="1:16">
      <c r="A336" s="9"/>
      <c r="B336" s="116"/>
      <c r="C336" s="111"/>
      <c r="D336" s="102"/>
      <c r="E336" s="102"/>
      <c r="F336" s="102"/>
      <c r="G336" s="102"/>
      <c r="H336" s="102"/>
      <c r="I336" s="102"/>
      <c r="J336" s="102"/>
      <c r="K336" s="102"/>
      <c r="L336" s="102"/>
      <c r="M336" s="111"/>
      <c r="N336" s="111"/>
      <c r="O336" s="14"/>
      <c r="P336" s="9"/>
    </row>
    <row r="337" spans="1:16">
      <c r="A337" s="9"/>
      <c r="B337" s="116"/>
      <c r="C337" s="111"/>
      <c r="D337" s="102"/>
      <c r="E337" s="102"/>
      <c r="F337" s="102"/>
      <c r="G337" s="102"/>
      <c r="H337" s="102"/>
      <c r="I337" s="102"/>
      <c r="J337" s="102"/>
      <c r="K337" s="102"/>
      <c r="L337" s="102"/>
      <c r="M337" s="111"/>
      <c r="N337" s="111"/>
      <c r="O337" s="14"/>
      <c r="P337" s="9"/>
    </row>
    <row r="338" spans="1:16">
      <c r="A338" s="9"/>
      <c r="B338" s="116"/>
      <c r="C338" s="111"/>
      <c r="D338" s="102"/>
      <c r="E338" s="102"/>
      <c r="F338" s="102"/>
      <c r="G338" s="102"/>
      <c r="H338" s="102"/>
      <c r="I338" s="102"/>
      <c r="J338" s="102"/>
      <c r="K338" s="102"/>
      <c r="L338" s="102"/>
      <c r="M338" s="111"/>
      <c r="N338" s="111"/>
      <c r="O338" s="14"/>
      <c r="P338" s="9"/>
    </row>
    <row r="339" spans="1:16">
      <c r="A339" s="9"/>
      <c r="B339" s="116"/>
      <c r="C339" s="111"/>
      <c r="D339" s="102"/>
      <c r="E339" s="102"/>
      <c r="F339" s="102"/>
      <c r="G339" s="102"/>
      <c r="H339" s="102"/>
      <c r="I339" s="102"/>
      <c r="J339" s="102"/>
      <c r="K339" s="102"/>
      <c r="L339" s="102"/>
      <c r="M339" s="111"/>
      <c r="N339" s="111"/>
      <c r="O339" s="14"/>
      <c r="P339" s="9"/>
    </row>
    <row r="340" spans="1:16">
      <c r="A340" s="9"/>
      <c r="B340" s="116"/>
      <c r="C340" s="111"/>
      <c r="D340" s="102"/>
      <c r="E340" s="102"/>
      <c r="F340" s="102"/>
      <c r="G340" s="102"/>
      <c r="H340" s="102"/>
      <c r="I340" s="102"/>
      <c r="J340" s="102"/>
      <c r="K340" s="102"/>
      <c r="L340" s="102"/>
      <c r="M340" s="111"/>
      <c r="N340" s="111"/>
      <c r="O340" s="14"/>
      <c r="P340" s="9"/>
    </row>
    <row r="341" spans="1:16">
      <c r="A341" s="9"/>
      <c r="B341" s="116"/>
      <c r="C341" s="111"/>
      <c r="D341" s="102"/>
      <c r="E341" s="102"/>
      <c r="F341" s="102"/>
      <c r="G341" s="102"/>
      <c r="H341" s="102"/>
      <c r="I341" s="102"/>
      <c r="J341" s="102"/>
      <c r="K341" s="102"/>
      <c r="L341" s="102"/>
      <c r="M341" s="111"/>
      <c r="N341" s="111"/>
      <c r="O341" s="14"/>
      <c r="P341" s="9"/>
    </row>
    <row r="342" spans="1:16">
      <c r="A342" s="9"/>
      <c r="B342" s="116"/>
      <c r="C342" s="111"/>
      <c r="D342" s="102"/>
      <c r="E342" s="102"/>
      <c r="F342" s="102"/>
      <c r="G342" s="102"/>
      <c r="H342" s="102"/>
      <c r="I342" s="102"/>
      <c r="J342" s="102"/>
      <c r="K342" s="102"/>
      <c r="L342" s="102"/>
      <c r="M342" s="111"/>
      <c r="N342" s="111"/>
      <c r="O342" s="14"/>
      <c r="P342" s="9"/>
    </row>
    <row r="343" spans="1:16">
      <c r="A343" s="9"/>
      <c r="B343" s="116"/>
      <c r="C343" s="111"/>
      <c r="D343" s="102"/>
      <c r="E343" s="102"/>
      <c r="F343" s="102"/>
      <c r="G343" s="102"/>
      <c r="H343" s="102"/>
      <c r="I343" s="102"/>
      <c r="J343" s="102"/>
      <c r="K343" s="102"/>
      <c r="L343" s="102"/>
      <c r="M343" s="111"/>
      <c r="N343" s="111"/>
      <c r="O343" s="14"/>
      <c r="P343" s="9"/>
    </row>
    <row r="344" spans="1:16">
      <c r="A344" s="9"/>
      <c r="B344" s="116"/>
      <c r="C344" s="111"/>
      <c r="D344" s="102"/>
      <c r="E344" s="102"/>
      <c r="F344" s="102"/>
      <c r="G344" s="102"/>
      <c r="H344" s="102"/>
      <c r="I344" s="102"/>
      <c r="J344" s="102"/>
      <c r="K344" s="102"/>
      <c r="L344" s="102"/>
      <c r="M344" s="111"/>
      <c r="N344" s="111"/>
      <c r="O344" s="14"/>
      <c r="P344" s="9"/>
    </row>
    <row r="345" spans="1:16">
      <c r="A345" s="9"/>
      <c r="B345" s="116"/>
      <c r="C345" s="111"/>
      <c r="D345" s="102"/>
      <c r="E345" s="102"/>
      <c r="F345" s="102"/>
      <c r="G345" s="102"/>
      <c r="H345" s="102"/>
      <c r="I345" s="102"/>
      <c r="J345" s="102"/>
      <c r="K345" s="102"/>
      <c r="L345" s="102"/>
      <c r="M345" s="111"/>
      <c r="N345" s="111"/>
      <c r="O345" s="14"/>
      <c r="P345" s="9"/>
    </row>
    <row r="346" spans="1:16">
      <c r="A346" s="9"/>
      <c r="B346" s="116"/>
      <c r="C346" s="111"/>
      <c r="D346" s="102"/>
      <c r="E346" s="102"/>
      <c r="F346" s="102"/>
      <c r="G346" s="102"/>
      <c r="H346" s="102"/>
      <c r="I346" s="102"/>
      <c r="J346" s="102"/>
      <c r="K346" s="102"/>
      <c r="L346" s="102"/>
      <c r="M346" s="111"/>
      <c r="N346" s="111"/>
      <c r="O346" s="14"/>
      <c r="P346" s="9"/>
    </row>
  </sheetData>
  <sheetCalcPr fullCalcOnLoad="1"/>
  <mergeCells count="1">
    <mergeCell ref="A1:B6"/>
  </mergeCells>
  <phoneticPr fontId="3" type="noConversion"/>
  <hyperlinks>
    <hyperlink ref="C1" location="wyniki!A13" display="wyniki!A13"/>
    <hyperlink ref="D1" location="wyniki!A20" display="wyniki!A20"/>
    <hyperlink ref="E1" location="wyniki!A27" display="wyniki!A27"/>
    <hyperlink ref="F1" location="wyniki!A34" display="wyniki!A34"/>
    <hyperlink ref="G1" location="wyniki!A41" display="wyniki!A41"/>
    <hyperlink ref="H1" location="wyniki!A48" display="wyniki!A48"/>
    <hyperlink ref="I1" location="wyniki!A55" display="wyniki!A55"/>
    <hyperlink ref="J1" location="wyniki!A62" display="wyniki!A62"/>
    <hyperlink ref="K1" location="wyniki!A69" display="wyniki!A69"/>
    <hyperlink ref="L1" location="wyniki!A76" display="wyniki!A76"/>
    <hyperlink ref="M1" location="wyniki!A83" display="wyniki!A83"/>
    <hyperlink ref="N1" location="wyniki!A90" display="wyniki!A90"/>
    <hyperlink ref="C2" location="wyniki!A97" display="wyniki!A97"/>
    <hyperlink ref="D2" location="wyniki!A104" display="wyniki!A104"/>
    <hyperlink ref="E2" location="wyniki!A111" display="wyniki!A111"/>
    <hyperlink ref="F2" location="wyniki!A118" display="wyniki!A118"/>
    <hyperlink ref="G2" location="wyniki!A125" display="wyniki!A125"/>
    <hyperlink ref="H2" location="wyniki!A132" display="wyniki!A132"/>
    <hyperlink ref="I2" location="wyniki!A139" display="wyniki!A139"/>
    <hyperlink ref="J2" location="wyniki!A146" display="wyniki!A146"/>
    <hyperlink ref="K2" location="wyniki!A153" display="wyniki!A153"/>
    <hyperlink ref="L2" location="wyniki!A160" display="wyniki!A160"/>
    <hyperlink ref="M2" location="wyniki!A167" display="wyniki!A167"/>
    <hyperlink ref="N2" location="wyniki!A174" display="wyniki!A174"/>
    <hyperlink ref="C3" location="wyniki!A181" display="wyniki!A181"/>
    <hyperlink ref="D3" location="wyniki!A188" display="wyniki!A188"/>
    <hyperlink ref="E3" location="wyniki!A195" display="wyniki!A195"/>
    <hyperlink ref="F3" location="wyniki!A202" display="wyniki!A202"/>
    <hyperlink ref="G3" location="wyniki!A209" display="wyniki!A209"/>
    <hyperlink ref="H3" location="wyniki!A216" display="wyniki!A216"/>
    <hyperlink ref="I3" location="wyniki!A223" display="wyniki!A223"/>
    <hyperlink ref="J3" location="wyniki!A230" display="wyniki!A230"/>
    <hyperlink ref="K3" location="wyniki!A237" display="wyniki!A237"/>
    <hyperlink ref="L3" location="wyniki!A244" display="wyniki!A244"/>
    <hyperlink ref="M3" location="wyniki!A251" display="wyniki!A251"/>
    <hyperlink ref="N3" location="wyniki!A258" display="wyniki!A258"/>
    <hyperlink ref="C4" location="wyniki!A265" display="wyniki!A265"/>
    <hyperlink ref="D4" location="wyniki!A272" display="wyniki!A272"/>
    <hyperlink ref="E4" location="wyniki!A280" display="wyniki!A280"/>
    <hyperlink ref="F4" location="wyniki!A287" display="wyniki!A287"/>
    <hyperlink ref="A7" location="wyniki!A1" display="wyniki!A1"/>
    <hyperlink ref="A14" location="wyniki!A1" display="wyniki!A1"/>
    <hyperlink ref="A21" location="wyniki!A1" display="wyniki!A1"/>
    <hyperlink ref="A28" location="wyniki!A1" display="wyniki!A1"/>
    <hyperlink ref="A35" location="wyniki!A1" display="wyniki!A1"/>
    <hyperlink ref="A42" location="wyniki!A1" display="wyniki!A1"/>
    <hyperlink ref="A49" location="wyniki!A1" display="wyniki!A1"/>
    <hyperlink ref="A56" location="wyniki!A1" display="wyniki!A1"/>
    <hyperlink ref="A63" location="wyniki!A1" display="wyniki!A1"/>
    <hyperlink ref="A70" location="wyniki!A1" display="wyniki!A1"/>
    <hyperlink ref="A77" location="wyniki!A1" display="wyniki!A1"/>
    <hyperlink ref="A84" location="wyniki!A1" display="wyniki!A1"/>
    <hyperlink ref="A91" location="wyniki!A1" display="wyniki!A1"/>
    <hyperlink ref="A98" location="wyniki!A1" display="wyniki!A1"/>
    <hyperlink ref="A105" location="wyniki!A1" display="wyniki!A1"/>
    <hyperlink ref="A112" location="wyniki!A1" display="wyniki!A1"/>
    <hyperlink ref="A119" location="wyniki!A1" display="wyniki!A1"/>
    <hyperlink ref="A126" location="wyniki!A1" display="wyniki!A1"/>
    <hyperlink ref="A133" location="wyniki!A1" display="wyniki!A1"/>
    <hyperlink ref="A140" location="wyniki!A1" display="wyniki!A1"/>
    <hyperlink ref="A147" location="wyniki!A1" display="wyniki!A1"/>
    <hyperlink ref="A154" location="wyniki!A1" display="wyniki!A1"/>
    <hyperlink ref="A161" location="wyniki!A1" display="wyniki!A1"/>
    <hyperlink ref="A168" location="wyniki!A1" display="wyniki!A1"/>
    <hyperlink ref="A175" location="wyniki!A1" display="wyniki!A1"/>
    <hyperlink ref="A182" location="wyniki!A1" display="wyniki!A1"/>
    <hyperlink ref="A189" location="wyniki!A1" display="wyniki!A1"/>
    <hyperlink ref="A196" location="wyniki!A1" display="wyniki!A1"/>
    <hyperlink ref="A203" location="wyniki!A1" display="wyniki!A1"/>
    <hyperlink ref="A210" location="wyniki!A1" display="wyniki!A1"/>
    <hyperlink ref="A217" location="wyniki!A1" display="wyniki!A1"/>
    <hyperlink ref="A224" location="wyniki!A1" display="wyniki!A1"/>
    <hyperlink ref="A231" location="wyniki!A1" display="wyniki!A1"/>
    <hyperlink ref="A238" location="wyniki!A1" display="wyniki!A1"/>
    <hyperlink ref="A245" location="wyniki!A1" display="wyniki!A1"/>
    <hyperlink ref="A252" location="wyniki!A1" display="wyniki!A1"/>
    <hyperlink ref="A259" location="wyniki!A1" display="wyniki!A1"/>
    <hyperlink ref="A266" location="wyniki!A1" display="wyniki!A1"/>
    <hyperlink ref="A273" location="wyniki!A1" display="wyniki!A1"/>
    <hyperlink ref="A280" location="wyniki!A1" display="wyniki!A1"/>
  </hyperlinks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3" filterMode="1"/>
  <dimension ref="B1:AM419"/>
  <sheetViews>
    <sheetView showGridLines="0" view="pageBreakPreview" zoomScaleNormal="100" workbookViewId="0">
      <selection activeCell="J2" sqref="J2"/>
    </sheetView>
  </sheetViews>
  <sheetFormatPr defaultRowHeight="15"/>
  <cols>
    <col min="1" max="1" width="9.140625" customWidth="1"/>
    <col min="2" max="2" width="14.42578125" hidden="1" customWidth="1"/>
    <col min="3" max="3" width="8.5703125" style="56" hidden="1" customWidth="1"/>
    <col min="4" max="4" width="9.140625" style="18" hidden="1" customWidth="1"/>
    <col min="5" max="5" width="9.140625" style="56" hidden="1" customWidth="1"/>
    <col min="6" max="7" width="9.140625" hidden="1" customWidth="1"/>
    <col min="8" max="9" width="9.140625" customWidth="1"/>
    <col min="10" max="10" width="27.5703125" style="80" customWidth="1"/>
    <col min="11" max="11" width="13.85546875" style="62" bestFit="1" customWidth="1"/>
    <col min="12" max="12" width="7.140625" style="60" hidden="1" customWidth="1"/>
    <col min="13" max="13" width="28.42578125" style="80" customWidth="1"/>
    <col min="14" max="14" width="11.42578125" style="44" bestFit="1" customWidth="1"/>
  </cols>
  <sheetData>
    <row r="1" spans="2:39" ht="19.5" thickTop="1" thickBot="1">
      <c r="J1" s="58" t="s">
        <v>12</v>
      </c>
      <c r="K1" s="57" t="s">
        <v>13</v>
      </c>
      <c r="L1" s="58"/>
      <c r="M1" s="89" t="s">
        <v>14</v>
      </c>
      <c r="N1" s="58" t="s">
        <v>15</v>
      </c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2:39" ht="17.25" thickTop="1" thickBot="1">
      <c r="B2" t="str">
        <f>wyniki!B8</f>
        <v>Dąbrowski Mateusz</v>
      </c>
      <c r="C2" s="56">
        <f>wyniki!C8</f>
        <v>9.1300000000000008</v>
      </c>
      <c r="D2" s="18">
        <v>-1.0000000000000001E-5</v>
      </c>
      <c r="E2" s="56">
        <f>IF(C2&gt;1,G2+D2)</f>
        <v>-9.1300100000000004</v>
      </c>
      <c r="F2" t="str">
        <f>wyniki!$A$7</f>
        <v>SP8 Siedlce</v>
      </c>
      <c r="G2" s="56">
        <f>-C2</f>
        <v>-9.1300000000000008</v>
      </c>
      <c r="J2" s="79" t="str">
        <f>INDEX($B$2:$E$241,L2,1)</f>
        <v>Sołomski Oliwier</v>
      </c>
      <c r="K2" s="61">
        <f>-LARGE($E$2:$E$241,1)</f>
        <v>8.3004600000000011</v>
      </c>
      <c r="L2" s="59">
        <f>MATCH(-K2,$E$2:$E$241,0)</f>
        <v>46</v>
      </c>
      <c r="M2" s="90" t="str">
        <f>INDEX($E$2:$F$241,L2,2)</f>
        <v>SP Zielonki Parcela</v>
      </c>
      <c r="N2" s="37">
        <v>1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2:39" ht="17.25" thickTop="1" thickBot="1">
      <c r="B3" t="str">
        <f>wyniki!B9</f>
        <v>Iliński Aleksander</v>
      </c>
      <c r="C3" s="56">
        <f>wyniki!C9</f>
        <v>9.25</v>
      </c>
      <c r="D3" s="18">
        <v>-2.0000000000000002E-5</v>
      </c>
      <c r="E3" s="56">
        <f t="shared" ref="E3:E66" si="0">IF(C3&gt;1,G3+D3)</f>
        <v>-9.2500199999999992</v>
      </c>
      <c r="F3" t="str">
        <f>wyniki!$A$7</f>
        <v>SP8 Siedlce</v>
      </c>
      <c r="G3" s="56">
        <f t="shared" ref="G3:G66" si="1">-C3</f>
        <v>-9.25</v>
      </c>
      <c r="J3" s="79" t="str">
        <f t="shared" ref="J3:J66" si="2">INDEX($B$2:$E$241,L3,1)</f>
        <v>Kałęcki Bartosz</v>
      </c>
      <c r="K3" s="61">
        <f>-LARGE($E$2:$E$241,2)</f>
        <v>8.4305099999999999</v>
      </c>
      <c r="L3" s="59">
        <f>MATCH(-K3,$E$2:$E$241,0)</f>
        <v>51</v>
      </c>
      <c r="M3" s="90" t="str">
        <f t="shared" ref="M3:M66" si="3">INDEX($E$2:$F$241,L3,2)</f>
        <v>SP154 Warszawa</v>
      </c>
      <c r="N3" s="37">
        <v>2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2:39" ht="17.25" thickTop="1" thickBot="1">
      <c r="B4" t="str">
        <f>wyniki!B10</f>
        <v>Ługowski Bartosz</v>
      </c>
      <c r="C4" s="56">
        <f>wyniki!C10</f>
        <v>9.2899999999999991</v>
      </c>
      <c r="D4" s="18">
        <v>-3.0000000000000001E-5</v>
      </c>
      <c r="E4" s="56">
        <f t="shared" si="0"/>
        <v>-9.2900299999999998</v>
      </c>
      <c r="F4" t="str">
        <f>wyniki!$A$7</f>
        <v>SP8 Siedlce</v>
      </c>
      <c r="G4" s="56">
        <f t="shared" si="1"/>
        <v>-9.2899999999999991</v>
      </c>
      <c r="J4" s="79" t="str">
        <f t="shared" si="2"/>
        <v>Terlikowski Ignacy</v>
      </c>
      <c r="K4" s="61">
        <f>-LARGE($E$2:$E$241,3)</f>
        <v>8.4702999999999999</v>
      </c>
      <c r="L4" s="59">
        <f t="shared" ref="L4:L67" si="4">MATCH(-K4,$E$2:$E$241,0)</f>
        <v>30</v>
      </c>
      <c r="M4" s="90" t="str">
        <f t="shared" si="3"/>
        <v>SP9 Siedlce</v>
      </c>
      <c r="N4" s="37">
        <v>3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2:39" ht="17.25" thickTop="1" thickBot="1">
      <c r="B5" t="str">
        <f>wyniki!B11</f>
        <v>Redes Maciej</v>
      </c>
      <c r="C5" s="56">
        <f>wyniki!C11</f>
        <v>9.69</v>
      </c>
      <c r="D5" s="18">
        <v>-4.0000000000000003E-5</v>
      </c>
      <c r="E5" s="56">
        <f t="shared" si="0"/>
        <v>-9.6900399999999998</v>
      </c>
      <c r="F5" t="str">
        <f>wyniki!$A$7</f>
        <v>SP8 Siedlce</v>
      </c>
      <c r="G5" s="56">
        <f t="shared" si="1"/>
        <v>-9.69</v>
      </c>
      <c r="J5" s="79" t="str">
        <f t="shared" si="2"/>
        <v>Świder Tymoteusz</v>
      </c>
      <c r="K5" s="61">
        <f>-LARGE($E$2:$E$241,4)</f>
        <v>8.4800500000000003</v>
      </c>
      <c r="L5" s="59">
        <f t="shared" si="4"/>
        <v>5</v>
      </c>
      <c r="M5" s="90" t="str">
        <f t="shared" si="3"/>
        <v>SP8 Siedlce</v>
      </c>
      <c r="N5" s="37">
        <v>4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2:39" ht="17.25" thickTop="1" thickBot="1">
      <c r="B6" t="str">
        <f>wyniki!B12</f>
        <v>Świder Tymoteusz</v>
      </c>
      <c r="C6" s="56">
        <f>wyniki!C12</f>
        <v>8.48</v>
      </c>
      <c r="D6" s="18">
        <v>-5.0000000000000002E-5</v>
      </c>
      <c r="E6" s="56">
        <f t="shared" si="0"/>
        <v>-8.4800500000000003</v>
      </c>
      <c r="F6" t="str">
        <f>wyniki!$A$7</f>
        <v>SP8 Siedlce</v>
      </c>
      <c r="G6" s="56">
        <f t="shared" si="1"/>
        <v>-8.48</v>
      </c>
      <c r="J6" s="79" t="str">
        <f t="shared" si="2"/>
        <v>Tomiczak Jan</v>
      </c>
      <c r="K6" s="61">
        <f>-LARGE($E$2:$E$241,5)</f>
        <v>8.5805299999999995</v>
      </c>
      <c r="L6" s="59">
        <f t="shared" si="4"/>
        <v>53</v>
      </c>
      <c r="M6" s="90" t="str">
        <f t="shared" si="3"/>
        <v>SP154 Warszawa</v>
      </c>
      <c r="N6" s="37">
        <v>5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</row>
    <row r="7" spans="2:39" ht="17.25" thickTop="1" thickBot="1">
      <c r="B7" t="str">
        <f>wyniki!B13</f>
        <v>Nitychoruk Maciej</v>
      </c>
      <c r="C7" s="56">
        <f>wyniki!C13</f>
        <v>9.81</v>
      </c>
      <c r="D7" s="18">
        <v>-6.0000000000000002E-5</v>
      </c>
      <c r="E7" s="56">
        <f t="shared" si="0"/>
        <v>-9.81006</v>
      </c>
      <c r="F7" t="str">
        <f>wyniki!$A$7</f>
        <v>SP8 Siedlce</v>
      </c>
      <c r="G7" s="56">
        <f t="shared" si="1"/>
        <v>-9.81</v>
      </c>
      <c r="J7" s="79" t="str">
        <f t="shared" si="2"/>
        <v>Kamiński Mateusz</v>
      </c>
      <c r="K7" s="61">
        <f>-LARGE($E$2:$E$241,6)</f>
        <v>8.6002600000000005</v>
      </c>
      <c r="L7" s="59">
        <f t="shared" si="4"/>
        <v>26</v>
      </c>
      <c r="M7" s="90" t="str">
        <f t="shared" si="3"/>
        <v>SP9 Siedlce</v>
      </c>
      <c r="N7" s="37">
        <v>6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2:39" ht="17.25" thickTop="1" thickBot="1">
      <c r="B8" t="str">
        <f>wyniki!B15</f>
        <v>Kołacz Nikodem</v>
      </c>
      <c r="C8" s="56">
        <f>wyniki!C15</f>
        <v>9.19</v>
      </c>
      <c r="D8" s="18">
        <v>-6.9999999999999994E-5</v>
      </c>
      <c r="E8" s="56">
        <f t="shared" si="0"/>
        <v>-9.1900699999999986</v>
      </c>
      <c r="F8" t="str">
        <f>wyniki!$A$14</f>
        <v>PSP24 Radom</v>
      </c>
      <c r="G8" s="56">
        <f t="shared" si="1"/>
        <v>-9.19</v>
      </c>
      <c r="J8" s="79" t="str">
        <f t="shared" si="2"/>
        <v>Kwiatkowski Julian</v>
      </c>
      <c r="K8" s="61">
        <f>-LARGE($E$2:$E$241,7)</f>
        <v>8.6401500000000002</v>
      </c>
      <c r="L8" s="59">
        <f t="shared" si="4"/>
        <v>15</v>
      </c>
      <c r="M8" s="90" t="str">
        <f t="shared" si="3"/>
        <v>SP4 Pruszków</v>
      </c>
      <c r="N8" s="37">
        <v>7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2:39" ht="17.25" thickTop="1" thickBot="1">
      <c r="B9" t="str">
        <f>wyniki!B16</f>
        <v>Komar Wojciech</v>
      </c>
      <c r="C9" s="56">
        <f>wyniki!C16</f>
        <v>9.0299999999999994</v>
      </c>
      <c r="D9" s="18">
        <v>-8.0000000000000007E-5</v>
      </c>
      <c r="E9" s="56">
        <f t="shared" si="0"/>
        <v>-9.0300799999999999</v>
      </c>
      <c r="F9" t="str">
        <f>wyniki!$A$14</f>
        <v>PSP24 Radom</v>
      </c>
      <c r="G9" s="56">
        <f t="shared" si="1"/>
        <v>-9.0299999999999994</v>
      </c>
      <c r="J9" s="79" t="str">
        <f t="shared" si="2"/>
        <v>Balcer Antoni</v>
      </c>
      <c r="K9" s="61">
        <f>-LARGE($E$2:$E$241,8)</f>
        <v>8.6506100000000004</v>
      </c>
      <c r="L9" s="59">
        <f t="shared" si="4"/>
        <v>61</v>
      </c>
      <c r="M9" s="90" t="str">
        <f t="shared" si="3"/>
        <v>SP2 Zielonka</v>
      </c>
      <c r="N9" s="37">
        <v>8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</row>
    <row r="10" spans="2:39" ht="17.25" thickTop="1" thickBot="1">
      <c r="B10" t="str">
        <f>wyniki!B17</f>
        <v>Markwat Natan</v>
      </c>
      <c r="C10" s="56">
        <f>wyniki!C17</f>
        <v>9.0500000000000007</v>
      </c>
      <c r="D10" s="18">
        <v>-9.0000000000000006E-5</v>
      </c>
      <c r="E10" s="56">
        <f t="shared" si="0"/>
        <v>-9.0500900000000009</v>
      </c>
      <c r="F10" t="str">
        <f>wyniki!$A$14</f>
        <v>PSP24 Radom</v>
      </c>
      <c r="G10" s="56">
        <f t="shared" si="1"/>
        <v>-9.0500000000000007</v>
      </c>
      <c r="J10" s="79" t="str">
        <f t="shared" si="2"/>
        <v>Równy Krystian</v>
      </c>
      <c r="K10" s="61">
        <f>-LARGE($E$2:$E$241,9)</f>
        <v>8.6803600000000003</v>
      </c>
      <c r="L10" s="59">
        <f t="shared" si="4"/>
        <v>36</v>
      </c>
      <c r="M10" s="90" t="str">
        <f t="shared" si="3"/>
        <v>SP1 Ostrów Maz</v>
      </c>
      <c r="N10" s="37">
        <v>9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</row>
    <row r="11" spans="2:39" ht="17.25" thickTop="1" thickBot="1">
      <c r="B11" t="str">
        <f>wyniki!B18</f>
        <v>Nowak Aleksander</v>
      </c>
      <c r="C11" s="56">
        <f>wyniki!C18</f>
        <v>9.4</v>
      </c>
      <c r="D11" s="18">
        <v>-1E-4</v>
      </c>
      <c r="E11" s="56">
        <f t="shared" si="0"/>
        <v>-9.4001000000000001</v>
      </c>
      <c r="F11" t="str">
        <f>wyniki!$A$14</f>
        <v>PSP24 Radom</v>
      </c>
      <c r="G11" s="56">
        <f t="shared" si="1"/>
        <v>-9.4</v>
      </c>
      <c r="J11" s="79" t="str">
        <f t="shared" si="2"/>
        <v>Cendrowski Kacper</v>
      </c>
      <c r="K11" s="61">
        <f>-LARGE($E$2:$E$241,10)</f>
        <v>8.6806699999999992</v>
      </c>
      <c r="L11" s="59">
        <f t="shared" si="4"/>
        <v>67</v>
      </c>
      <c r="M11" s="90" t="str">
        <f t="shared" si="3"/>
        <v>SP2 Mława</v>
      </c>
      <c r="N11" s="37">
        <v>10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2:39" ht="17.25" thickTop="1" thickBot="1">
      <c r="B12" t="str">
        <f>wyniki!B19</f>
        <v>Trzos Szymon</v>
      </c>
      <c r="C12" s="56">
        <f>wyniki!C19</f>
        <v>9.6300000000000008</v>
      </c>
      <c r="D12" s="18">
        <v>-1.1E-4</v>
      </c>
      <c r="E12" s="56">
        <f t="shared" si="0"/>
        <v>-9.6301100000000002</v>
      </c>
      <c r="F12" t="str">
        <f>wyniki!$A$14</f>
        <v>PSP24 Radom</v>
      </c>
      <c r="G12" s="56">
        <f t="shared" si="1"/>
        <v>-9.6300000000000008</v>
      </c>
      <c r="J12" s="79" t="str">
        <f t="shared" si="2"/>
        <v>Lipiński Cyprian</v>
      </c>
      <c r="K12" s="61">
        <f>-LARGE($E$2:$E$241,11)</f>
        <v>8.7101600000000001</v>
      </c>
      <c r="L12" s="59">
        <f t="shared" si="4"/>
        <v>16</v>
      </c>
      <c r="M12" s="90" t="str">
        <f t="shared" si="3"/>
        <v>SP4 Pruszków</v>
      </c>
      <c r="N12" s="37">
        <v>11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2:39" ht="17.25" thickTop="1" thickBot="1">
      <c r="B13">
        <f>wyniki!B20</f>
        <v>0</v>
      </c>
      <c r="C13" s="56">
        <f>wyniki!C20</f>
        <v>0</v>
      </c>
      <c r="D13" s="18">
        <v>-1.2E-4</v>
      </c>
      <c r="E13" s="56" t="b">
        <f t="shared" si="0"/>
        <v>0</v>
      </c>
      <c r="F13" t="str">
        <f>wyniki!$A$14</f>
        <v>PSP24 Radom</v>
      </c>
      <c r="G13" s="56">
        <f t="shared" si="1"/>
        <v>0</v>
      </c>
      <c r="J13" s="79" t="str">
        <f t="shared" si="2"/>
        <v>Miron Artur</v>
      </c>
      <c r="K13" s="61">
        <f>-LARGE($E$2:$E$241,12)</f>
        <v>8.7101700000000015</v>
      </c>
      <c r="L13" s="59">
        <f t="shared" si="4"/>
        <v>17</v>
      </c>
      <c r="M13" s="90" t="str">
        <f t="shared" si="3"/>
        <v>SP4 Pruszków</v>
      </c>
      <c r="N13" s="37">
        <v>12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2:39" ht="17.25" thickTop="1" thickBot="1">
      <c r="B14" t="str">
        <f>wyniki!B22</f>
        <v>Dąbrowski Aleksander</v>
      </c>
      <c r="C14" s="56">
        <f>wyniki!C22</f>
        <v>9.31</v>
      </c>
      <c r="D14" s="18">
        <v>-1.2999999999999999E-4</v>
      </c>
      <c r="E14" s="56">
        <f t="shared" si="0"/>
        <v>-9.3101300000000009</v>
      </c>
      <c r="F14" t="str">
        <f>wyniki!$A$21</f>
        <v>SP4 Pruszków</v>
      </c>
      <c r="G14" s="56">
        <f t="shared" si="1"/>
        <v>-9.31</v>
      </c>
      <c r="J14" s="79" t="str">
        <f t="shared" si="2"/>
        <v>Wójcicki Maciej</v>
      </c>
      <c r="K14" s="61">
        <f>-LARGE($E$2:$E$241,13)</f>
        <v>8.7204800000000002</v>
      </c>
      <c r="L14" s="59">
        <f t="shared" si="4"/>
        <v>48</v>
      </c>
      <c r="M14" s="90" t="str">
        <f t="shared" si="3"/>
        <v>SP Zielonki Parcela</v>
      </c>
      <c r="N14" s="37">
        <v>13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2:39" ht="17.25" thickTop="1" thickBot="1">
      <c r="B15" t="str">
        <f>wyniki!B23</f>
        <v>Kushchak Kamil</v>
      </c>
      <c r="C15" s="56">
        <f>wyniki!C23</f>
        <v>9.25</v>
      </c>
      <c r="D15" s="18">
        <v>-1.3999999999999999E-4</v>
      </c>
      <c r="E15" s="56">
        <f t="shared" si="0"/>
        <v>-9.25014</v>
      </c>
      <c r="F15" t="str">
        <f>wyniki!$A$21</f>
        <v>SP4 Pruszków</v>
      </c>
      <c r="G15" s="56">
        <f t="shared" si="1"/>
        <v>-9.25</v>
      </c>
      <c r="J15" s="79" t="str">
        <f t="shared" si="2"/>
        <v>Sypiański Szymon</v>
      </c>
      <c r="K15" s="61">
        <f>-LARGE($E$2:$E$241,14)</f>
        <v>8.7302900000000001</v>
      </c>
      <c r="L15" s="59">
        <f t="shared" si="4"/>
        <v>29</v>
      </c>
      <c r="M15" s="90" t="str">
        <f t="shared" si="3"/>
        <v>SP9 Siedlce</v>
      </c>
      <c r="N15" s="37">
        <v>14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2:39" ht="17.25" thickTop="1" thickBot="1">
      <c r="B16" t="str">
        <f>wyniki!B24</f>
        <v>Kwiatkowski Julian</v>
      </c>
      <c r="C16" s="56">
        <f>wyniki!C24</f>
        <v>8.64</v>
      </c>
      <c r="D16" s="18">
        <v>-1.4999999999999999E-4</v>
      </c>
      <c r="E16" s="56">
        <f t="shared" si="0"/>
        <v>-8.6401500000000002</v>
      </c>
      <c r="F16" t="str">
        <f>wyniki!$A$21</f>
        <v>SP4 Pruszków</v>
      </c>
      <c r="G16" s="56">
        <f t="shared" si="1"/>
        <v>-8.64</v>
      </c>
      <c r="J16" s="79" t="str">
        <f t="shared" si="2"/>
        <v>Kobielski Mateusz</v>
      </c>
      <c r="K16" s="61">
        <f>-LARGE($E$2:$E$241,15)</f>
        <v>8.73062</v>
      </c>
      <c r="L16" s="59">
        <f t="shared" si="4"/>
        <v>62</v>
      </c>
      <c r="M16" s="90" t="str">
        <f t="shared" si="3"/>
        <v>SP2 Zielonka</v>
      </c>
      <c r="N16" s="37">
        <v>15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ht="17.25" thickTop="1" thickBot="1">
      <c r="B17" t="str">
        <f>wyniki!B25</f>
        <v>Lipiński Cyprian</v>
      </c>
      <c r="C17" s="56">
        <f>wyniki!C25</f>
        <v>8.7100000000000009</v>
      </c>
      <c r="D17" s="18">
        <v>-1.6000000000000001E-4</v>
      </c>
      <c r="E17" s="56">
        <f t="shared" si="0"/>
        <v>-8.7101600000000001</v>
      </c>
      <c r="F17" t="str">
        <f>wyniki!$A$21</f>
        <v>SP4 Pruszków</v>
      </c>
      <c r="G17" s="56">
        <f t="shared" si="1"/>
        <v>-8.7100000000000009</v>
      </c>
      <c r="J17" s="79" t="str">
        <f t="shared" si="2"/>
        <v>Leszczyński Kacper</v>
      </c>
      <c r="K17" s="61">
        <f>-LARGE($E$2:$E$241,16)</f>
        <v>8.77074</v>
      </c>
      <c r="L17" s="59">
        <f t="shared" si="4"/>
        <v>74</v>
      </c>
      <c r="M17" s="90" t="str">
        <f t="shared" si="3"/>
        <v>SP18 Płock</v>
      </c>
      <c r="N17" s="37">
        <v>16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17.25" thickTop="1" thickBot="1">
      <c r="B18" t="str">
        <f>wyniki!B26</f>
        <v>Miron Artur</v>
      </c>
      <c r="C18" s="56">
        <f>wyniki!C26</f>
        <v>8.7100000000000009</v>
      </c>
      <c r="D18" s="18">
        <v>-1.7000000000000001E-4</v>
      </c>
      <c r="E18" s="56">
        <f t="shared" si="0"/>
        <v>-8.7101700000000015</v>
      </c>
      <c r="F18" t="str">
        <f>wyniki!$A$21</f>
        <v>SP4 Pruszków</v>
      </c>
      <c r="G18" s="56">
        <f t="shared" si="1"/>
        <v>-8.7100000000000009</v>
      </c>
      <c r="J18" s="79" t="str">
        <f t="shared" si="2"/>
        <v>Tuczyński Aleksander</v>
      </c>
      <c r="K18" s="61">
        <f>-LARGE($E$2:$E$241,17)</f>
        <v>8.7804000000000002</v>
      </c>
      <c r="L18" s="59">
        <f t="shared" si="4"/>
        <v>40</v>
      </c>
      <c r="M18" s="90" t="str">
        <f t="shared" si="3"/>
        <v>SP204 Warszawa</v>
      </c>
      <c r="N18" s="37">
        <v>17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2:39" ht="17.25" thickTop="1" thickBot="1">
      <c r="B19" t="str">
        <f>wyniki!B27</f>
        <v>Zień Paweł</v>
      </c>
      <c r="C19" s="56">
        <f>wyniki!C27</f>
        <v>8.9600000000000009</v>
      </c>
      <c r="D19" s="18">
        <v>-1.8000000000000001E-4</v>
      </c>
      <c r="E19" s="56">
        <f t="shared" si="0"/>
        <v>-8.9601800000000011</v>
      </c>
      <c r="F19" t="str">
        <f>wyniki!$A$21</f>
        <v>SP4 Pruszków</v>
      </c>
      <c r="G19" s="56">
        <f t="shared" si="1"/>
        <v>-8.9600000000000009</v>
      </c>
      <c r="J19" s="79" t="str">
        <f t="shared" si="2"/>
        <v>Karbowski Aleksander</v>
      </c>
      <c r="K19" s="61">
        <f>-LARGE($E$2:$E$241,18)</f>
        <v>8.8003700000000009</v>
      </c>
      <c r="L19" s="59">
        <f t="shared" si="4"/>
        <v>37</v>
      </c>
      <c r="M19" s="90" t="str">
        <f t="shared" si="3"/>
        <v>SP204 Warszawa</v>
      </c>
      <c r="N19" s="37">
        <v>18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2:39" ht="17.25" thickTop="1" thickBot="1">
      <c r="B20" t="str">
        <f>wyniki!B29</f>
        <v>Banaszczyk Dawid</v>
      </c>
      <c r="C20" s="56">
        <f>wyniki!C29</f>
        <v>9.51</v>
      </c>
      <c r="D20" s="18">
        <v>-1.9000000000000001E-4</v>
      </c>
      <c r="E20" s="56">
        <f t="shared" si="0"/>
        <v>-9.5101899999999997</v>
      </c>
      <c r="F20" t="str">
        <f>wyniki!$A$28</f>
        <v>SP2 Szydłowiec</v>
      </c>
      <c r="G20" s="56">
        <f t="shared" si="1"/>
        <v>-9.51</v>
      </c>
      <c r="J20" s="79" t="str">
        <f t="shared" si="2"/>
        <v>Maliszewski Jan</v>
      </c>
      <c r="K20" s="61">
        <f>-LARGE($E$2:$E$241,19)</f>
        <v>8.8203399999999998</v>
      </c>
      <c r="L20" s="59">
        <f t="shared" si="4"/>
        <v>34</v>
      </c>
      <c r="M20" s="90" t="str">
        <f t="shared" si="3"/>
        <v>SP1 Ostrów Maz</v>
      </c>
      <c r="N20" s="37">
        <v>19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2:39" ht="17.25" thickTop="1" thickBot="1">
      <c r="B21" t="str">
        <f>wyniki!B30</f>
        <v>Kroguec Antoni</v>
      </c>
      <c r="C21" s="56">
        <f>wyniki!C30</f>
        <v>9.02</v>
      </c>
      <c r="D21" s="18">
        <v>-2.0000000000000001E-4</v>
      </c>
      <c r="E21" s="56">
        <f t="shared" si="0"/>
        <v>-9.0201999999999991</v>
      </c>
      <c r="F21" t="str">
        <f>wyniki!$A$28</f>
        <v>SP2 Szydłowiec</v>
      </c>
      <c r="G21" s="56">
        <f t="shared" si="1"/>
        <v>-9.02</v>
      </c>
      <c r="J21" s="79" t="str">
        <f t="shared" si="2"/>
        <v>Michalski Piotr</v>
      </c>
      <c r="K21" s="61">
        <f>-LARGE($E$2:$E$241,20)</f>
        <v>8.8807600000000004</v>
      </c>
      <c r="L21" s="59">
        <f t="shared" si="4"/>
        <v>76</v>
      </c>
      <c r="M21" s="90" t="str">
        <f t="shared" si="3"/>
        <v>SP18 Płock</v>
      </c>
      <c r="N21" s="37">
        <v>20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2:39" ht="17.25" thickTop="1" thickBot="1">
      <c r="B22" t="str">
        <f>wyniki!B31</f>
        <v>May Franciszek</v>
      </c>
      <c r="C22" s="56">
        <f>wyniki!C31</f>
        <v>8.92</v>
      </c>
      <c r="D22" s="18">
        <v>-2.1000000000000001E-4</v>
      </c>
      <c r="E22" s="56">
        <f t="shared" si="0"/>
        <v>-8.9202099999999991</v>
      </c>
      <c r="F22" t="str">
        <f>wyniki!$A$28</f>
        <v>SP2 Szydłowiec</v>
      </c>
      <c r="G22" s="56">
        <f t="shared" si="1"/>
        <v>-8.92</v>
      </c>
      <c r="J22" s="79" t="str">
        <f t="shared" si="2"/>
        <v>Bonalski Maciej</v>
      </c>
      <c r="K22" s="61">
        <f>-LARGE($E$2:$E$241,21)</f>
        <v>8.9005700000000001</v>
      </c>
      <c r="L22" s="59">
        <f t="shared" si="4"/>
        <v>57</v>
      </c>
      <c r="M22" s="90" t="str">
        <f t="shared" si="3"/>
        <v xml:space="preserve">SP Jednorożec </v>
      </c>
      <c r="N22" s="37">
        <v>21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2:39" ht="17.25" thickTop="1" thickBot="1">
      <c r="B23" t="str">
        <f>wyniki!B32</f>
        <v>Pawlak Kacper</v>
      </c>
      <c r="C23" s="56">
        <f>wyniki!C32</f>
        <v>9.2100000000000009</v>
      </c>
      <c r="D23" s="18">
        <v>-2.2000000000000001E-4</v>
      </c>
      <c r="E23" s="56">
        <f t="shared" si="0"/>
        <v>-9.2102200000000014</v>
      </c>
      <c r="F23" t="str">
        <f>wyniki!$A$28</f>
        <v>SP2 Szydłowiec</v>
      </c>
      <c r="G23" s="56">
        <f t="shared" si="1"/>
        <v>-9.2100000000000009</v>
      </c>
      <c r="J23" s="79" t="str">
        <f t="shared" si="2"/>
        <v>Stepień Wojciech</v>
      </c>
      <c r="K23" s="61">
        <f>-LARGE($E$2:$E$241,22)</f>
        <v>8.9104700000000001</v>
      </c>
      <c r="L23" s="59">
        <f t="shared" si="4"/>
        <v>47</v>
      </c>
      <c r="M23" s="90" t="str">
        <f t="shared" si="3"/>
        <v>SP Zielonki Parcela</v>
      </c>
      <c r="N23" s="37">
        <v>22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2:39" ht="17.25" thickTop="1" thickBot="1">
      <c r="B24" t="str">
        <f>wyniki!B33</f>
        <v>Sala Szymon</v>
      </c>
      <c r="C24" s="56">
        <f>wyniki!C33</f>
        <v>9.5</v>
      </c>
      <c r="D24" s="18">
        <v>-2.3000000000000001E-4</v>
      </c>
      <c r="E24" s="56">
        <f t="shared" si="0"/>
        <v>-9.5002300000000002</v>
      </c>
      <c r="F24" t="str">
        <f>wyniki!$A$28</f>
        <v>SP2 Szydłowiec</v>
      </c>
      <c r="G24" s="56">
        <f t="shared" si="1"/>
        <v>-9.5</v>
      </c>
      <c r="J24" s="79" t="str">
        <f t="shared" si="2"/>
        <v>May Franciszek</v>
      </c>
      <c r="K24" s="61">
        <f>-LARGE($E$2:$E$241,23)</f>
        <v>8.9202099999999991</v>
      </c>
      <c r="L24" s="59">
        <f t="shared" si="4"/>
        <v>21</v>
      </c>
      <c r="M24" s="90" t="str">
        <f t="shared" si="3"/>
        <v>SP2 Szydłowiec</v>
      </c>
      <c r="N24" s="37">
        <v>23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2:39" ht="17.25" thickTop="1" thickBot="1">
      <c r="B25" t="str">
        <f>wyniki!B34</f>
        <v>Walasik Kacper</v>
      </c>
      <c r="C25" s="56">
        <f>wyniki!C34</f>
        <v>9.84</v>
      </c>
      <c r="D25" s="18">
        <v>-2.4000000000000001E-4</v>
      </c>
      <c r="E25" s="56">
        <f t="shared" si="0"/>
        <v>-9.8402399999999997</v>
      </c>
      <c r="F25" t="str">
        <f>wyniki!$A$28</f>
        <v>SP2 Szydłowiec</v>
      </c>
      <c r="G25" s="56">
        <f t="shared" si="1"/>
        <v>-9.84</v>
      </c>
      <c r="J25" s="79" t="str">
        <f t="shared" si="2"/>
        <v>Zień Paweł</v>
      </c>
      <c r="K25" s="61">
        <f>-LARGE($E$2:$E$241,24)</f>
        <v>8.9601800000000011</v>
      </c>
      <c r="L25" s="59">
        <f t="shared" si="4"/>
        <v>18</v>
      </c>
      <c r="M25" s="90" t="str">
        <f t="shared" si="3"/>
        <v>SP4 Pruszków</v>
      </c>
      <c r="N25" s="37">
        <v>24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2:39" ht="17.25" thickTop="1" thickBot="1">
      <c r="B26" t="str">
        <f>wyniki!B36</f>
        <v>Dąbrowski Bartosz</v>
      </c>
      <c r="C26" s="56">
        <f>wyniki!C36</f>
        <v>8.98</v>
      </c>
      <c r="D26" s="18">
        <v>-2.5000000000000001E-4</v>
      </c>
      <c r="E26" s="56">
        <f t="shared" si="0"/>
        <v>-8.9802499999999998</v>
      </c>
      <c r="F26" t="str">
        <f>wyniki!$A$35</f>
        <v>SP9 Siedlce</v>
      </c>
      <c r="G26" s="56">
        <f t="shared" si="1"/>
        <v>-8.98</v>
      </c>
      <c r="J26" s="79" t="str">
        <f t="shared" si="2"/>
        <v>Dąbrowski Bartosz</v>
      </c>
      <c r="K26" s="61">
        <f>-LARGE($E$2:$E$241,25)</f>
        <v>8.9802499999999998</v>
      </c>
      <c r="L26" s="59">
        <f t="shared" si="4"/>
        <v>25</v>
      </c>
      <c r="M26" s="90" t="str">
        <f t="shared" si="3"/>
        <v>SP9 Siedlce</v>
      </c>
      <c r="N26" s="37">
        <v>25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2:39" ht="17.25" thickTop="1" thickBot="1">
      <c r="B27" t="str">
        <f>wyniki!B37</f>
        <v>Kamiński Mateusz</v>
      </c>
      <c r="C27" s="56">
        <f>wyniki!C37</f>
        <v>8.6</v>
      </c>
      <c r="D27" s="18">
        <v>-2.5999999999999998E-4</v>
      </c>
      <c r="E27" s="56">
        <f t="shared" si="0"/>
        <v>-8.6002600000000005</v>
      </c>
      <c r="F27" t="str">
        <f>wyniki!$A$35</f>
        <v>SP9 Siedlce</v>
      </c>
      <c r="G27" s="56">
        <f t="shared" si="1"/>
        <v>-8.6</v>
      </c>
      <c r="J27" s="79" t="str">
        <f t="shared" si="2"/>
        <v>Maliszewski Michał</v>
      </c>
      <c r="K27" s="61">
        <f>-LARGE($E$2:$E$241,26)</f>
        <v>8.9903499999999994</v>
      </c>
      <c r="L27" s="59">
        <f t="shared" si="4"/>
        <v>35</v>
      </c>
      <c r="M27" s="90" t="str">
        <f t="shared" si="3"/>
        <v>SP1 Ostrów Maz</v>
      </c>
      <c r="N27" s="37">
        <v>26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2:39" ht="17.25" thickTop="1" thickBot="1">
      <c r="B28" t="str">
        <f>wyniki!B38</f>
        <v>Krasuski Jakub</v>
      </c>
      <c r="C28" s="56">
        <f>wyniki!C38</f>
        <v>9.31</v>
      </c>
      <c r="D28" s="18">
        <v>-2.7E-4</v>
      </c>
      <c r="E28" s="56">
        <f t="shared" si="0"/>
        <v>-9.3102700000000009</v>
      </c>
      <c r="F28" t="str">
        <f>wyniki!$A$35</f>
        <v>SP9 Siedlce</v>
      </c>
      <c r="G28" s="56">
        <f t="shared" si="1"/>
        <v>-9.31</v>
      </c>
      <c r="J28" s="79" t="str">
        <f t="shared" si="2"/>
        <v>Bryczyński Maksymilian</v>
      </c>
      <c r="K28" s="61">
        <f>-LARGE($E$2:$E$241,27)</f>
        <v>8.9904899999999994</v>
      </c>
      <c r="L28" s="59">
        <f t="shared" si="4"/>
        <v>49</v>
      </c>
      <c r="M28" s="90" t="str">
        <f t="shared" si="3"/>
        <v>SP154 Warszawa</v>
      </c>
      <c r="N28" s="37">
        <v>27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2:39" ht="17.25" thickTop="1" thickBot="1">
      <c r="B29" t="str">
        <f>wyniki!B39</f>
        <v>Sajewicz Piotr</v>
      </c>
      <c r="C29" s="56">
        <f>wyniki!C39</f>
        <v>9.5299999999999994</v>
      </c>
      <c r="D29" s="18">
        <v>-2.7999999999999998E-4</v>
      </c>
      <c r="E29" s="56">
        <f t="shared" si="0"/>
        <v>-9.5302799999999994</v>
      </c>
      <c r="F29" t="str">
        <f>wyniki!$A$35</f>
        <v>SP9 Siedlce</v>
      </c>
      <c r="G29" s="56">
        <f t="shared" si="1"/>
        <v>-9.5299999999999994</v>
      </c>
      <c r="J29" s="79" t="str">
        <f t="shared" si="2"/>
        <v>Kroguec Antoni</v>
      </c>
      <c r="K29" s="61">
        <f>-LARGE($E$2:$E$241,28)</f>
        <v>9.0201999999999991</v>
      </c>
      <c r="L29" s="59">
        <f t="shared" si="4"/>
        <v>20</v>
      </c>
      <c r="M29" s="90" t="str">
        <f t="shared" si="3"/>
        <v>SP2 Szydłowiec</v>
      </c>
      <c r="N29" s="37">
        <v>28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</row>
    <row r="30" spans="2:39" ht="17.25" thickTop="1" thickBot="1">
      <c r="B30" t="str">
        <f>wyniki!B40</f>
        <v>Sypiański Szymon</v>
      </c>
      <c r="C30" s="56">
        <f>wyniki!C40</f>
        <v>8.73</v>
      </c>
      <c r="D30" s="18">
        <v>-2.9E-4</v>
      </c>
      <c r="E30" s="56">
        <f t="shared" si="0"/>
        <v>-8.7302900000000001</v>
      </c>
      <c r="F30" t="str">
        <f>wyniki!$A$35</f>
        <v>SP9 Siedlce</v>
      </c>
      <c r="G30" s="56">
        <f t="shared" si="1"/>
        <v>-8.73</v>
      </c>
      <c r="J30" s="79" t="str">
        <f t="shared" si="2"/>
        <v>Staszkiewicz Michał</v>
      </c>
      <c r="K30" s="61">
        <f>-LARGE($E$2:$E$241,29)</f>
        <v>9.0205199999999994</v>
      </c>
      <c r="L30" s="59">
        <f t="shared" si="4"/>
        <v>52</v>
      </c>
      <c r="M30" s="90" t="str">
        <f t="shared" si="3"/>
        <v>SP154 Warszawa</v>
      </c>
      <c r="N30" s="37">
        <v>29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2:39" ht="17.25" thickTop="1" thickBot="1">
      <c r="B31" t="str">
        <f>wyniki!B41</f>
        <v>Terlikowski Ignacy</v>
      </c>
      <c r="C31" s="56">
        <f>wyniki!C41</f>
        <v>8.4700000000000006</v>
      </c>
      <c r="D31" s="18">
        <v>-2.9999999999999997E-4</v>
      </c>
      <c r="E31" s="56">
        <f t="shared" si="0"/>
        <v>-8.4702999999999999</v>
      </c>
      <c r="F31" t="str">
        <f>wyniki!$A$35</f>
        <v>SP9 Siedlce</v>
      </c>
      <c r="G31" s="56">
        <f t="shared" si="1"/>
        <v>-8.4700000000000006</v>
      </c>
      <c r="J31" s="79" t="str">
        <f t="shared" si="2"/>
        <v>Lewandowski Bartosz</v>
      </c>
      <c r="K31" s="61">
        <f>-LARGE($E$2:$E$241,30)</f>
        <v>9.0207499999999996</v>
      </c>
      <c r="L31" s="59">
        <f t="shared" si="4"/>
        <v>75</v>
      </c>
      <c r="M31" s="90" t="str">
        <f t="shared" si="3"/>
        <v>SP18 Płock</v>
      </c>
      <c r="N31" s="37">
        <v>30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</row>
    <row r="32" spans="2:39" ht="17.25" thickTop="1" thickBot="1">
      <c r="B32" t="str">
        <f>wyniki!B43</f>
        <v>Baran Wiktor</v>
      </c>
      <c r="C32" s="56">
        <f>wyniki!C43</f>
        <v>9.3000000000000007</v>
      </c>
      <c r="D32" s="18">
        <v>-3.1E-4</v>
      </c>
      <c r="E32" s="56">
        <f t="shared" si="0"/>
        <v>-9.3003100000000014</v>
      </c>
      <c r="F32" t="str">
        <f>wyniki!$A$42</f>
        <v>SP1 Ostrów Maz</v>
      </c>
      <c r="G32" s="56">
        <f t="shared" si="1"/>
        <v>-9.3000000000000007</v>
      </c>
      <c r="J32" s="79" t="str">
        <f t="shared" si="2"/>
        <v>Komar Wojciech</v>
      </c>
      <c r="K32" s="61">
        <f>-LARGE($E$2:$E$241,31)</f>
        <v>9.0300799999999999</v>
      </c>
      <c r="L32" s="59">
        <f t="shared" si="4"/>
        <v>8</v>
      </c>
      <c r="M32" s="90" t="str">
        <f t="shared" si="3"/>
        <v>PSP24 Radom</v>
      </c>
      <c r="N32" s="37">
        <v>31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</row>
    <row r="33" spans="2:39" ht="17.25" thickTop="1" thickBot="1">
      <c r="B33" t="str">
        <f>wyniki!B44</f>
        <v>Kaczerski Kuba</v>
      </c>
      <c r="C33" s="56">
        <f>wyniki!C44</f>
        <v>9.6</v>
      </c>
      <c r="D33" s="18">
        <v>-3.2000000000000003E-4</v>
      </c>
      <c r="E33" s="56">
        <f t="shared" si="0"/>
        <v>-9.60032</v>
      </c>
      <c r="F33" t="str">
        <f>wyniki!$A$42</f>
        <v>SP1 Ostrów Maz</v>
      </c>
      <c r="G33" s="56">
        <f t="shared" si="1"/>
        <v>-9.6</v>
      </c>
      <c r="J33" s="79" t="str">
        <f t="shared" si="2"/>
        <v>Markwat Natan</v>
      </c>
      <c r="K33" s="61">
        <f>-LARGE($E$2:$E$241,32)</f>
        <v>9.0500900000000009</v>
      </c>
      <c r="L33" s="59">
        <f t="shared" si="4"/>
        <v>9</v>
      </c>
      <c r="M33" s="90" t="str">
        <f t="shared" si="3"/>
        <v>PSP24 Radom</v>
      </c>
      <c r="N33" s="37">
        <v>32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</row>
    <row r="34" spans="2:39" ht="17.25" thickTop="1" thickBot="1">
      <c r="B34" t="str">
        <f>wyniki!B45</f>
        <v>Malec Alan</v>
      </c>
      <c r="C34" s="56">
        <f>wyniki!C45</f>
        <v>10.35</v>
      </c>
      <c r="D34" s="18">
        <v>-3.3E-4</v>
      </c>
      <c r="E34" s="56">
        <f t="shared" si="0"/>
        <v>-10.35033</v>
      </c>
      <c r="F34" t="str">
        <f>wyniki!$A$42</f>
        <v>SP1 Ostrów Maz</v>
      </c>
      <c r="G34" s="56">
        <f t="shared" si="1"/>
        <v>-10.35</v>
      </c>
      <c r="J34" s="79" t="str">
        <f t="shared" si="2"/>
        <v>Kołodziej Adam</v>
      </c>
      <c r="K34" s="61">
        <f>-LARGE($E$2:$E$241,33)</f>
        <v>9.0907300000000006</v>
      </c>
      <c r="L34" s="59">
        <f t="shared" si="4"/>
        <v>73</v>
      </c>
      <c r="M34" s="90" t="str">
        <f t="shared" si="3"/>
        <v>SP18 Płock</v>
      </c>
      <c r="N34" s="37">
        <v>33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35" spans="2:39" ht="17.25" thickTop="1" thickBot="1">
      <c r="B35" t="str">
        <f>wyniki!B46</f>
        <v>Maliszewski Jan</v>
      </c>
      <c r="C35" s="56">
        <f>wyniki!C46</f>
        <v>8.82</v>
      </c>
      <c r="D35" s="18">
        <v>-3.4000000000000002E-4</v>
      </c>
      <c r="E35" s="56">
        <f t="shared" si="0"/>
        <v>-8.8203399999999998</v>
      </c>
      <c r="F35" t="str">
        <f>wyniki!$A$42</f>
        <v>SP1 Ostrów Maz</v>
      </c>
      <c r="G35" s="56">
        <f t="shared" si="1"/>
        <v>-8.82</v>
      </c>
      <c r="J35" s="79" t="str">
        <f t="shared" si="2"/>
        <v>Zieniewicz Franciszek</v>
      </c>
      <c r="K35" s="61">
        <f>-LARGE($E$2:$E$241,34)</f>
        <v>9.1004199999999997</v>
      </c>
      <c r="L35" s="59">
        <f t="shared" si="4"/>
        <v>42</v>
      </c>
      <c r="M35" s="90" t="str">
        <f t="shared" si="3"/>
        <v>SP204 Warszawa</v>
      </c>
      <c r="N35" s="37">
        <v>34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</row>
    <row r="36" spans="2:39" ht="17.25" thickTop="1" thickBot="1">
      <c r="B36" t="str">
        <f>wyniki!B47</f>
        <v>Maliszewski Michał</v>
      </c>
      <c r="C36" s="56">
        <f>wyniki!C47</f>
        <v>8.99</v>
      </c>
      <c r="D36" s="18">
        <v>-3.5E-4</v>
      </c>
      <c r="E36" s="56">
        <f t="shared" si="0"/>
        <v>-8.9903499999999994</v>
      </c>
      <c r="F36" t="str">
        <f>wyniki!$A$42</f>
        <v>SP1 Ostrów Maz</v>
      </c>
      <c r="G36" s="56">
        <f t="shared" si="1"/>
        <v>-8.99</v>
      </c>
      <c r="J36" s="79" t="str">
        <f t="shared" si="2"/>
        <v>Dąbrowski Mateusz</v>
      </c>
      <c r="K36" s="61">
        <f>-LARGE($E$2:$E$241,35)</f>
        <v>9.1300100000000004</v>
      </c>
      <c r="L36" s="59">
        <f t="shared" si="4"/>
        <v>1</v>
      </c>
      <c r="M36" s="90" t="str">
        <f t="shared" si="3"/>
        <v>SP8 Siedlce</v>
      </c>
      <c r="N36" s="37">
        <v>35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</row>
    <row r="37" spans="2:39" ht="17.25" thickTop="1" thickBot="1">
      <c r="B37" t="str">
        <f>wyniki!B48</f>
        <v>Równy Krystian</v>
      </c>
      <c r="C37" s="56">
        <f>wyniki!C48</f>
        <v>8.68</v>
      </c>
      <c r="D37" s="18">
        <v>-3.6000000000000002E-4</v>
      </c>
      <c r="E37" s="56">
        <f t="shared" si="0"/>
        <v>-8.6803600000000003</v>
      </c>
      <c r="F37" t="str">
        <f>wyniki!$A$42</f>
        <v>SP1 Ostrów Maz</v>
      </c>
      <c r="G37" s="56">
        <f t="shared" si="1"/>
        <v>-8.68</v>
      </c>
      <c r="J37" s="79" t="str">
        <f t="shared" si="2"/>
        <v>Bakuła Dawid</v>
      </c>
      <c r="K37" s="61">
        <f>-LARGE($E$2:$E$241,36)</f>
        <v>9.1305600000000009</v>
      </c>
      <c r="L37" s="59">
        <f t="shared" si="4"/>
        <v>56</v>
      </c>
      <c r="M37" s="90" t="str">
        <f t="shared" si="3"/>
        <v xml:space="preserve">SP Jednorożec </v>
      </c>
      <c r="N37" s="37">
        <v>36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</row>
    <row r="38" spans="2:39" ht="17.25" thickTop="1" thickBot="1">
      <c r="B38" t="str">
        <f>wyniki!B50</f>
        <v>Karbowski Aleksander</v>
      </c>
      <c r="C38" s="56">
        <f>wyniki!C50</f>
        <v>8.8000000000000007</v>
      </c>
      <c r="D38" s="18">
        <v>-3.6999999999999999E-4</v>
      </c>
      <c r="E38" s="56">
        <f t="shared" si="0"/>
        <v>-8.8003700000000009</v>
      </c>
      <c r="F38" t="str">
        <f>wyniki!$A$49</f>
        <v>SP204 Warszawa</v>
      </c>
      <c r="G38" s="56">
        <f t="shared" si="1"/>
        <v>-8.8000000000000007</v>
      </c>
      <c r="J38" s="79" t="str">
        <f t="shared" si="2"/>
        <v>Domżalski Szymon</v>
      </c>
      <c r="K38" s="61">
        <f>-LARGE($E$2:$E$241,37)</f>
        <v>9.1606799999999993</v>
      </c>
      <c r="L38" s="59">
        <f t="shared" si="4"/>
        <v>68</v>
      </c>
      <c r="M38" s="90" t="str">
        <f t="shared" si="3"/>
        <v>SP2 Mława</v>
      </c>
      <c r="N38" s="37">
        <v>37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</row>
    <row r="39" spans="2:39" ht="17.25" thickTop="1" thickBot="1">
      <c r="B39" t="str">
        <f>wyniki!B51</f>
        <v>Mirecki Mateusz</v>
      </c>
      <c r="C39" s="56">
        <f>wyniki!C51</f>
        <v>9.3699999999999992</v>
      </c>
      <c r="D39" s="18">
        <v>-3.8000000000000002E-4</v>
      </c>
      <c r="E39" s="56">
        <f t="shared" si="0"/>
        <v>-9.370379999999999</v>
      </c>
      <c r="F39" t="str">
        <f>wyniki!$A$49</f>
        <v>SP204 Warszawa</v>
      </c>
      <c r="G39" s="56">
        <f t="shared" si="1"/>
        <v>-9.3699999999999992</v>
      </c>
      <c r="J39" s="79" t="str">
        <f t="shared" si="2"/>
        <v>Kołacz Nikodem</v>
      </c>
      <c r="K39" s="61">
        <f>-LARGE($E$2:$E$241,38)</f>
        <v>9.1900699999999986</v>
      </c>
      <c r="L39" s="59">
        <f t="shared" si="4"/>
        <v>7</v>
      </c>
      <c r="M39" s="90" t="str">
        <f t="shared" si="3"/>
        <v>PSP24 Radom</v>
      </c>
      <c r="N39" s="37">
        <v>38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</row>
    <row r="40" spans="2:39" ht="17.25" thickTop="1" thickBot="1">
      <c r="B40" t="str">
        <f>wyniki!B52</f>
        <v>Porębski Jakub</v>
      </c>
      <c r="C40" s="56">
        <f>wyniki!C52</f>
        <v>9.52</v>
      </c>
      <c r="D40" s="18">
        <v>-3.8999999999999999E-4</v>
      </c>
      <c r="E40" s="56">
        <f t="shared" si="0"/>
        <v>-9.520389999999999</v>
      </c>
      <c r="F40" t="str">
        <f>wyniki!$A$49</f>
        <v>SP204 Warszawa</v>
      </c>
      <c r="G40" s="56">
        <f t="shared" si="1"/>
        <v>-9.52</v>
      </c>
      <c r="J40" s="79" t="str">
        <f t="shared" si="2"/>
        <v>Zaniemcha Nikodem</v>
      </c>
      <c r="K40" s="61">
        <f>-LARGE($E$2:$E$241,39)</f>
        <v>9.1905400000000004</v>
      </c>
      <c r="L40" s="59">
        <f t="shared" si="4"/>
        <v>54</v>
      </c>
      <c r="M40" s="90" t="str">
        <f t="shared" si="3"/>
        <v>SP154 Warszawa</v>
      </c>
      <c r="N40" s="37">
        <v>39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</row>
    <row r="41" spans="2:39" ht="17.25" thickTop="1" thickBot="1">
      <c r="B41" t="str">
        <f>wyniki!B53</f>
        <v>Tuczyński Aleksander</v>
      </c>
      <c r="C41" s="56">
        <f>wyniki!C53</f>
        <v>8.7799999999999994</v>
      </c>
      <c r="D41" s="18">
        <v>-4.0000000000000002E-4</v>
      </c>
      <c r="E41" s="56">
        <f t="shared" si="0"/>
        <v>-8.7804000000000002</v>
      </c>
      <c r="F41" t="str">
        <f>wyniki!$A$49</f>
        <v>SP204 Warszawa</v>
      </c>
      <c r="G41" s="56">
        <f t="shared" si="1"/>
        <v>-8.7799999999999994</v>
      </c>
      <c r="J41" s="79" t="str">
        <f t="shared" si="2"/>
        <v>Urbaniak Igor</v>
      </c>
      <c r="K41" s="61">
        <f>-LARGE($E$2:$E$241,40)</f>
        <v>9.2005999999999997</v>
      </c>
      <c r="L41" s="59">
        <f t="shared" si="4"/>
        <v>60</v>
      </c>
      <c r="M41" s="90" t="str">
        <f t="shared" si="3"/>
        <v xml:space="preserve">SP Jednorożec </v>
      </c>
      <c r="N41" s="37">
        <v>40</v>
      </c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  <row r="42" spans="2:39" ht="17.25" thickTop="1" thickBot="1">
      <c r="B42" t="str">
        <f>wyniki!B54</f>
        <v>Zawadzki Szymon</v>
      </c>
      <c r="C42" s="56">
        <f>wyniki!C54</f>
        <v>9.2899999999999991</v>
      </c>
      <c r="D42" s="18">
        <v>-4.0999999999999999E-4</v>
      </c>
      <c r="E42" s="56">
        <f t="shared" si="0"/>
        <v>-9.2904099999999996</v>
      </c>
      <c r="F42" t="str">
        <f>wyniki!$A$49</f>
        <v>SP204 Warszawa</v>
      </c>
      <c r="G42" s="56">
        <f t="shared" si="1"/>
        <v>-9.2899999999999991</v>
      </c>
      <c r="J42" s="79" t="str">
        <f t="shared" si="2"/>
        <v>Pawlak Kacper</v>
      </c>
      <c r="K42" s="61">
        <f>-LARGE($E$2:$E$241,41)</f>
        <v>9.2102200000000014</v>
      </c>
      <c r="L42" s="59">
        <f t="shared" si="4"/>
        <v>22</v>
      </c>
      <c r="M42" s="90" t="str">
        <f t="shared" si="3"/>
        <v>SP2 Szydłowiec</v>
      </c>
      <c r="N42" s="37">
        <v>41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</row>
    <row r="43" spans="2:39" ht="17.25" thickTop="1" thickBot="1">
      <c r="B43" t="str">
        <f>wyniki!B55</f>
        <v>Zieniewicz Franciszek</v>
      </c>
      <c r="C43" s="56">
        <f>wyniki!C55</f>
        <v>9.1</v>
      </c>
      <c r="D43" s="18">
        <v>-4.2000000000000002E-4</v>
      </c>
      <c r="E43" s="56">
        <f t="shared" si="0"/>
        <v>-9.1004199999999997</v>
      </c>
      <c r="F43" t="str">
        <f>wyniki!$A$49</f>
        <v>SP204 Warszawa</v>
      </c>
      <c r="G43" s="56">
        <f t="shared" si="1"/>
        <v>-9.1</v>
      </c>
      <c r="J43" s="79" t="str">
        <f t="shared" si="2"/>
        <v>Iliński Aleksander</v>
      </c>
      <c r="K43" s="61">
        <f>-LARGE($E$2:$E$241,42)</f>
        <v>9.2500199999999992</v>
      </c>
      <c r="L43" s="59">
        <f t="shared" si="4"/>
        <v>2</v>
      </c>
      <c r="M43" s="90" t="str">
        <f t="shared" si="3"/>
        <v>SP8 Siedlce</v>
      </c>
      <c r="N43" s="37">
        <v>42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</row>
    <row r="44" spans="2:39" ht="17.25" thickTop="1" thickBot="1">
      <c r="B44" t="str">
        <f>wyniki!B57</f>
        <v>Cisek Mikołaj</v>
      </c>
      <c r="C44" s="56">
        <f>wyniki!C57</f>
        <v>9.34</v>
      </c>
      <c r="D44" s="18">
        <v>-4.2999999999999999E-4</v>
      </c>
      <c r="E44" s="56">
        <f t="shared" si="0"/>
        <v>-9.3404299999999996</v>
      </c>
      <c r="F44" t="str">
        <f>wyniki!$A$56</f>
        <v>SP Zielonki Parcela</v>
      </c>
      <c r="G44" s="56">
        <f t="shared" si="1"/>
        <v>-9.34</v>
      </c>
      <c r="J44" s="79" t="str">
        <f t="shared" si="2"/>
        <v>Kushchak Kamil</v>
      </c>
      <c r="K44" s="61">
        <f>-LARGE($E$2:$E$241,43)</f>
        <v>9.25014</v>
      </c>
      <c r="L44" s="59">
        <f t="shared" si="4"/>
        <v>14</v>
      </c>
      <c r="M44" s="90" t="str">
        <f t="shared" si="3"/>
        <v>SP4 Pruszków</v>
      </c>
      <c r="N44" s="37">
        <v>43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</row>
    <row r="45" spans="2:39" ht="17.25" thickTop="1" thickBot="1">
      <c r="B45" t="str">
        <f>wyniki!B58</f>
        <v>Dyszkowski Mateusz</v>
      </c>
      <c r="C45" s="56">
        <f>wyniki!C58</f>
        <v>9.64</v>
      </c>
      <c r="D45" s="18">
        <v>-4.4000000000000002E-4</v>
      </c>
      <c r="E45" s="56">
        <f t="shared" si="0"/>
        <v>-9.6404399999999999</v>
      </c>
      <c r="F45" t="str">
        <f>wyniki!$A$56</f>
        <v>SP Zielonki Parcela</v>
      </c>
      <c r="G45" s="56">
        <f t="shared" si="1"/>
        <v>-9.64</v>
      </c>
      <c r="J45" s="79" t="str">
        <f t="shared" si="2"/>
        <v>Antosiak Maciej</v>
      </c>
      <c r="K45" s="61">
        <f>-LARGE($E$2:$E$241,44)</f>
        <v>9.2505500000000005</v>
      </c>
      <c r="L45" s="59">
        <f t="shared" si="4"/>
        <v>55</v>
      </c>
      <c r="M45" s="90" t="str">
        <f t="shared" si="3"/>
        <v xml:space="preserve">SP Jednorożec </v>
      </c>
      <c r="N45" s="37">
        <v>44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</row>
    <row r="46" spans="2:39" ht="17.25" thickTop="1" thickBot="1">
      <c r="B46" t="str">
        <f>wyniki!B59</f>
        <v>Kowalski Tymoteusz</v>
      </c>
      <c r="C46" s="56">
        <f>wyniki!C59</f>
        <v>9.81</v>
      </c>
      <c r="D46" s="18">
        <v>-4.4999999999999999E-4</v>
      </c>
      <c r="E46" s="56">
        <f t="shared" si="0"/>
        <v>-9.8104500000000012</v>
      </c>
      <c r="F46" t="str">
        <f>wyniki!$A$56</f>
        <v>SP Zielonki Parcela</v>
      </c>
      <c r="G46" s="56">
        <f t="shared" si="1"/>
        <v>-9.81</v>
      </c>
      <c r="J46" s="79" t="str">
        <f t="shared" si="2"/>
        <v>Ługowski Bartosz</v>
      </c>
      <c r="K46" s="61">
        <f>-LARGE($E$2:$E$241,45)</f>
        <v>9.2900299999999998</v>
      </c>
      <c r="L46" s="59">
        <f t="shared" si="4"/>
        <v>3</v>
      </c>
      <c r="M46" s="90" t="str">
        <f t="shared" si="3"/>
        <v>SP8 Siedlce</v>
      </c>
      <c r="N46" s="37">
        <v>45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  <row r="47" spans="2:39" ht="17.25" thickTop="1" thickBot="1">
      <c r="B47" t="str">
        <f>wyniki!B60</f>
        <v>Sołomski Oliwier</v>
      </c>
      <c r="C47" s="56">
        <f>wyniki!C60</f>
        <v>8.3000000000000007</v>
      </c>
      <c r="D47" s="18">
        <v>-4.6000000000000001E-4</v>
      </c>
      <c r="E47" s="56">
        <f t="shared" si="0"/>
        <v>-8.3004600000000011</v>
      </c>
      <c r="F47" t="str">
        <f>wyniki!$A$56</f>
        <v>SP Zielonki Parcela</v>
      </c>
      <c r="G47" s="56">
        <f t="shared" si="1"/>
        <v>-8.3000000000000007</v>
      </c>
      <c r="J47" s="79" t="str">
        <f t="shared" si="2"/>
        <v>Zawadzki Szymon</v>
      </c>
      <c r="K47" s="61">
        <f>-LARGE($E$2:$E$241,46)</f>
        <v>9.2904099999999996</v>
      </c>
      <c r="L47" s="59">
        <f t="shared" si="4"/>
        <v>41</v>
      </c>
      <c r="M47" s="90" t="str">
        <f t="shared" si="3"/>
        <v>SP204 Warszawa</v>
      </c>
      <c r="N47" s="37">
        <v>46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</row>
    <row r="48" spans="2:39" ht="17.25" thickTop="1" thickBot="1">
      <c r="B48" t="str">
        <f>wyniki!B61</f>
        <v>Stepień Wojciech</v>
      </c>
      <c r="C48" s="56">
        <f>wyniki!C61</f>
        <v>8.91</v>
      </c>
      <c r="D48" s="18">
        <v>-4.6999999999999999E-4</v>
      </c>
      <c r="E48" s="56">
        <f t="shared" si="0"/>
        <v>-8.9104700000000001</v>
      </c>
      <c r="F48" t="str">
        <f>wyniki!$A$56</f>
        <v>SP Zielonki Parcela</v>
      </c>
      <c r="G48" s="56">
        <f t="shared" si="1"/>
        <v>-8.91</v>
      </c>
      <c r="J48" s="79" t="str">
        <f t="shared" si="2"/>
        <v>Baran Wiktor</v>
      </c>
      <c r="K48" s="61">
        <f>-LARGE($E$2:$E$241,47)</f>
        <v>9.3003100000000014</v>
      </c>
      <c r="L48" s="59">
        <f t="shared" si="4"/>
        <v>31</v>
      </c>
      <c r="M48" s="90" t="str">
        <f t="shared" si="3"/>
        <v>SP1 Ostrów Maz</v>
      </c>
      <c r="N48" s="37">
        <v>47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2:39" ht="17.25" thickTop="1" thickBot="1">
      <c r="B49" t="str">
        <f>wyniki!B62</f>
        <v>Wójcicki Maciej</v>
      </c>
      <c r="C49" s="56">
        <f>wyniki!C62</f>
        <v>8.7200000000000006</v>
      </c>
      <c r="D49" s="18">
        <v>-4.8000000000000001E-4</v>
      </c>
      <c r="E49" s="56">
        <f t="shared" si="0"/>
        <v>-8.7204800000000002</v>
      </c>
      <c r="F49" t="str">
        <f>wyniki!$A$56</f>
        <v>SP Zielonki Parcela</v>
      </c>
      <c r="G49" s="56">
        <f t="shared" si="1"/>
        <v>-8.7200000000000006</v>
      </c>
      <c r="J49" s="79" t="str">
        <f t="shared" si="2"/>
        <v>Dąbrowski Aleksander</v>
      </c>
      <c r="K49" s="61">
        <f>-LARGE($E$2:$E$241,48)</f>
        <v>9.3101300000000009</v>
      </c>
      <c r="L49" s="59">
        <f t="shared" si="4"/>
        <v>13</v>
      </c>
      <c r="M49" s="90" t="str">
        <f t="shared" si="3"/>
        <v>SP4 Pruszków</v>
      </c>
      <c r="N49" s="37">
        <v>48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2:39" ht="17.25" thickTop="1" thickBot="1">
      <c r="B50" t="str">
        <f>wyniki!B64</f>
        <v>Bryczyński Maksymilian</v>
      </c>
      <c r="C50" s="56">
        <f>wyniki!C64</f>
        <v>8.99</v>
      </c>
      <c r="D50" s="18">
        <v>-4.8999999999999998E-4</v>
      </c>
      <c r="E50" s="56">
        <f t="shared" si="0"/>
        <v>-8.9904899999999994</v>
      </c>
      <c r="F50" t="str">
        <f>wyniki!$A$63</f>
        <v>SP154 Warszawa</v>
      </c>
      <c r="G50" s="56">
        <f t="shared" si="1"/>
        <v>-8.99</v>
      </c>
      <c r="J50" s="79" t="str">
        <f t="shared" si="2"/>
        <v>Krasuski Jakub</v>
      </c>
      <c r="K50" s="61">
        <f>-LARGE($E$2:$E$241,49)</f>
        <v>9.3102700000000009</v>
      </c>
      <c r="L50" s="59">
        <f t="shared" si="4"/>
        <v>27</v>
      </c>
      <c r="M50" s="90" t="str">
        <f t="shared" si="3"/>
        <v>SP9 Siedlce</v>
      </c>
      <c r="N50" s="37">
        <v>49</v>
      </c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</row>
    <row r="51" spans="2:39" ht="17.25" thickTop="1" thickBot="1">
      <c r="B51" t="str">
        <f>wyniki!B65</f>
        <v>Dąbrowski Franciszek</v>
      </c>
      <c r="C51" s="56">
        <f>wyniki!C65</f>
        <v>9.66</v>
      </c>
      <c r="D51" s="18">
        <v>-5.0000000000000001E-4</v>
      </c>
      <c r="E51" s="56">
        <f t="shared" si="0"/>
        <v>-9.6605000000000008</v>
      </c>
      <c r="F51" t="str">
        <f>wyniki!$A$63</f>
        <v>SP154 Warszawa</v>
      </c>
      <c r="G51" s="56">
        <f t="shared" si="1"/>
        <v>-9.66</v>
      </c>
      <c r="J51" s="79" t="str">
        <f t="shared" si="2"/>
        <v>Bors Paweł</v>
      </c>
      <c r="K51" s="61">
        <f>-LARGE($E$2:$E$241,50)</f>
        <v>9.3305799999999994</v>
      </c>
      <c r="L51" s="59">
        <f t="shared" si="4"/>
        <v>58</v>
      </c>
      <c r="M51" s="90" t="str">
        <f t="shared" si="3"/>
        <v xml:space="preserve">SP Jednorożec </v>
      </c>
      <c r="N51" s="37">
        <v>50</v>
      </c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</row>
    <row r="52" spans="2:39" ht="17.25" thickTop="1" thickBot="1">
      <c r="B52" t="str">
        <f>wyniki!B66</f>
        <v>Kałęcki Bartosz</v>
      </c>
      <c r="C52" s="56">
        <f>wyniki!C66</f>
        <v>8.43</v>
      </c>
      <c r="D52" s="18">
        <v>-5.1000000000000004E-4</v>
      </c>
      <c r="E52" s="56">
        <f t="shared" si="0"/>
        <v>-8.4305099999999999</v>
      </c>
      <c r="F52" t="str">
        <f>wyniki!$A$63</f>
        <v>SP154 Warszawa</v>
      </c>
      <c r="G52" s="56">
        <f t="shared" si="1"/>
        <v>-8.43</v>
      </c>
      <c r="J52" s="79" t="str">
        <f t="shared" si="2"/>
        <v>Cisek Mikołaj</v>
      </c>
      <c r="K52" s="61">
        <f>-LARGE($E$2:$E$241,51)</f>
        <v>9.3404299999999996</v>
      </c>
      <c r="L52" s="59">
        <f t="shared" si="4"/>
        <v>43</v>
      </c>
      <c r="M52" s="90" t="str">
        <f t="shared" si="3"/>
        <v>SP Zielonki Parcela</v>
      </c>
      <c r="N52" s="37">
        <v>51</v>
      </c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</row>
    <row r="53" spans="2:39" ht="17.25" thickTop="1" thickBot="1">
      <c r="B53" t="str">
        <f>wyniki!B67</f>
        <v>Staszkiewicz Michał</v>
      </c>
      <c r="C53" s="56">
        <f>wyniki!C67</f>
        <v>9.02</v>
      </c>
      <c r="D53" s="18">
        <v>-5.1999999999999995E-4</v>
      </c>
      <c r="E53" s="56">
        <f t="shared" si="0"/>
        <v>-9.0205199999999994</v>
      </c>
      <c r="F53" t="str">
        <f>wyniki!$A$63</f>
        <v>SP154 Warszawa</v>
      </c>
      <c r="G53" s="56">
        <f t="shared" si="1"/>
        <v>-9.02</v>
      </c>
      <c r="J53" s="79" t="str">
        <f t="shared" si="2"/>
        <v>Pękala Bartłomiej</v>
      </c>
      <c r="K53" s="61">
        <f>-LARGE($E$2:$E$241,52)</f>
        <v>9.3405900000000006</v>
      </c>
      <c r="L53" s="59">
        <f t="shared" si="4"/>
        <v>59</v>
      </c>
      <c r="M53" s="90" t="str">
        <f t="shared" si="3"/>
        <v xml:space="preserve">SP Jednorożec </v>
      </c>
      <c r="N53" s="37">
        <v>52</v>
      </c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</row>
    <row r="54" spans="2:39" ht="17.25" thickTop="1" thickBot="1">
      <c r="B54" t="str">
        <f>wyniki!B68</f>
        <v>Tomiczak Jan</v>
      </c>
      <c r="C54" s="56">
        <f>wyniki!C68</f>
        <v>8.58</v>
      </c>
      <c r="D54" s="18">
        <v>-5.2999999999999998E-4</v>
      </c>
      <c r="E54" s="56">
        <f t="shared" si="0"/>
        <v>-8.5805299999999995</v>
      </c>
      <c r="F54" t="str">
        <f>wyniki!$A$63</f>
        <v>SP154 Warszawa</v>
      </c>
      <c r="G54" s="56">
        <f t="shared" si="1"/>
        <v>-8.58</v>
      </c>
      <c r="J54" s="79" t="str">
        <f t="shared" si="2"/>
        <v>Mirecki Mateusz</v>
      </c>
      <c r="K54" s="61">
        <f>-LARGE($E$2:$E$241,53)</f>
        <v>9.370379999999999</v>
      </c>
      <c r="L54" s="59">
        <f t="shared" si="4"/>
        <v>38</v>
      </c>
      <c r="M54" s="90" t="str">
        <f t="shared" si="3"/>
        <v>SP204 Warszawa</v>
      </c>
      <c r="N54" s="37">
        <v>53</v>
      </c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</row>
    <row r="55" spans="2:39" ht="17.25" thickTop="1" thickBot="1">
      <c r="B55" t="str">
        <f>wyniki!B69</f>
        <v>Zaniemcha Nikodem</v>
      </c>
      <c r="C55" s="56">
        <f>wyniki!C69</f>
        <v>9.19</v>
      </c>
      <c r="D55" s="18">
        <v>-5.4000000000000001E-4</v>
      </c>
      <c r="E55" s="56">
        <f t="shared" si="0"/>
        <v>-9.1905400000000004</v>
      </c>
      <c r="F55" t="str">
        <f>wyniki!$A$63</f>
        <v>SP154 Warszawa</v>
      </c>
      <c r="G55" s="56">
        <f t="shared" si="1"/>
        <v>-9.19</v>
      </c>
      <c r="J55" s="79" t="str">
        <f t="shared" si="2"/>
        <v>Nowak Aleksander</v>
      </c>
      <c r="K55" s="61">
        <f>-LARGE($E$2:$E$241,54)</f>
        <v>9.4001000000000001</v>
      </c>
      <c r="L55" s="59">
        <f t="shared" si="4"/>
        <v>10</v>
      </c>
      <c r="M55" s="90" t="str">
        <f t="shared" si="3"/>
        <v>PSP24 Radom</v>
      </c>
      <c r="N55" s="37">
        <v>54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</row>
    <row r="56" spans="2:39" ht="17.25" thickTop="1" thickBot="1">
      <c r="B56" t="str">
        <f>wyniki!B71</f>
        <v>Antosiak Maciej</v>
      </c>
      <c r="C56" s="56">
        <f>wyniki!C71</f>
        <v>9.25</v>
      </c>
      <c r="D56" s="18">
        <v>-5.5000000000000003E-4</v>
      </c>
      <c r="E56" s="56">
        <f t="shared" si="0"/>
        <v>-9.2505500000000005</v>
      </c>
      <c r="F56" t="str">
        <f>wyniki!$A$70</f>
        <v xml:space="preserve">SP Jednorożec </v>
      </c>
      <c r="G56" s="56">
        <f t="shared" si="1"/>
        <v>-9.25</v>
      </c>
      <c r="J56" s="79" t="str">
        <f t="shared" si="2"/>
        <v>Ducki Michał</v>
      </c>
      <c r="K56" s="61">
        <f>-LARGE($E$2:$E$241,55)</f>
        <v>9.4106299999999994</v>
      </c>
      <c r="L56" s="59">
        <f t="shared" si="4"/>
        <v>63</v>
      </c>
      <c r="M56" s="90" t="str">
        <f t="shared" si="3"/>
        <v>SP2 Zielonka</v>
      </c>
      <c r="N56" s="37">
        <v>55</v>
      </c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</row>
    <row r="57" spans="2:39" ht="17.25" thickTop="1" thickBot="1">
      <c r="B57" t="str">
        <f>wyniki!B72</f>
        <v>Bakuła Dawid</v>
      </c>
      <c r="C57" s="56">
        <f>wyniki!C72</f>
        <v>9.1300000000000008</v>
      </c>
      <c r="D57" s="18">
        <v>-5.5999999999999995E-4</v>
      </c>
      <c r="E57" s="56">
        <f t="shared" si="0"/>
        <v>-9.1305600000000009</v>
      </c>
      <c r="F57" t="str">
        <f>wyniki!$A$70</f>
        <v xml:space="preserve">SP Jednorożec </v>
      </c>
      <c r="G57" s="56">
        <f t="shared" si="1"/>
        <v>-9.1300000000000008</v>
      </c>
      <c r="J57" s="79" t="str">
        <f t="shared" si="2"/>
        <v>Jędrzejewski Kamil</v>
      </c>
      <c r="K57" s="61">
        <f>-LARGE($E$2:$E$241,56)</f>
        <v>9.4106900000000007</v>
      </c>
      <c r="L57" s="59">
        <f t="shared" si="4"/>
        <v>69</v>
      </c>
      <c r="M57" s="90" t="str">
        <f t="shared" si="3"/>
        <v>SP2 Mława</v>
      </c>
      <c r="N57" s="37">
        <v>56</v>
      </c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</row>
    <row r="58" spans="2:39" ht="17.25" thickTop="1" thickBot="1">
      <c r="B58" t="str">
        <f>wyniki!B73</f>
        <v>Bonalski Maciej</v>
      </c>
      <c r="C58" s="56">
        <f>wyniki!C73</f>
        <v>8.9</v>
      </c>
      <c r="D58" s="18">
        <v>-5.6999999999999998E-4</v>
      </c>
      <c r="E58" s="56">
        <f t="shared" si="0"/>
        <v>-8.9005700000000001</v>
      </c>
      <c r="F58" t="str">
        <f>wyniki!$A$70</f>
        <v xml:space="preserve">SP Jednorożec </v>
      </c>
      <c r="G58" s="56">
        <f t="shared" si="1"/>
        <v>-8.9</v>
      </c>
      <c r="J58" s="79" t="str">
        <f t="shared" si="2"/>
        <v>Kochański Adrian</v>
      </c>
      <c r="K58" s="61">
        <f>-LARGE($E$2:$E$241,57)</f>
        <v>9.4206400000000006</v>
      </c>
      <c r="L58" s="59">
        <f t="shared" si="4"/>
        <v>64</v>
      </c>
      <c r="M58" s="90" t="str">
        <f t="shared" si="3"/>
        <v>SP2 Zielonka</v>
      </c>
      <c r="N58" s="37">
        <v>57</v>
      </c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</row>
    <row r="59" spans="2:39" ht="17.25" thickTop="1" thickBot="1">
      <c r="B59" t="str">
        <f>wyniki!B74</f>
        <v>Bors Paweł</v>
      </c>
      <c r="C59" s="56">
        <f>wyniki!C74</f>
        <v>9.33</v>
      </c>
      <c r="D59" s="18">
        <v>-5.8E-4</v>
      </c>
      <c r="E59" s="56">
        <f t="shared" si="0"/>
        <v>-9.3305799999999994</v>
      </c>
      <c r="F59" t="str">
        <f>wyniki!$A$70</f>
        <v xml:space="preserve">SP Jednorożec </v>
      </c>
      <c r="G59" s="56">
        <f t="shared" si="1"/>
        <v>-9.33</v>
      </c>
      <c r="J59" s="79" t="str">
        <f t="shared" si="2"/>
        <v>Zwierzchowski Krystian</v>
      </c>
      <c r="K59" s="61">
        <f>-LARGE($E$2:$E$241,58)</f>
        <v>9.4206599999999998</v>
      </c>
      <c r="L59" s="59">
        <f t="shared" si="4"/>
        <v>66</v>
      </c>
      <c r="M59" s="90" t="str">
        <f t="shared" si="3"/>
        <v>SP2 Zielonka</v>
      </c>
      <c r="N59" s="37">
        <v>58</v>
      </c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</row>
    <row r="60" spans="2:39" ht="17.25" thickTop="1" thickBot="1">
      <c r="B60" t="str">
        <f>wyniki!B75</f>
        <v>Pękala Bartłomiej</v>
      </c>
      <c r="C60" s="56">
        <f>wyniki!C75</f>
        <v>9.34</v>
      </c>
      <c r="D60" s="18">
        <v>-5.9000000000000003E-4</v>
      </c>
      <c r="E60" s="56">
        <f t="shared" si="0"/>
        <v>-9.3405900000000006</v>
      </c>
      <c r="F60" t="str">
        <f>wyniki!$A$70</f>
        <v xml:space="preserve">SP Jednorożec </v>
      </c>
      <c r="G60" s="56">
        <f t="shared" si="1"/>
        <v>-9.34</v>
      </c>
      <c r="J60" s="79" t="str">
        <f t="shared" si="2"/>
        <v>Olichwiruk Piotr</v>
      </c>
      <c r="K60" s="61">
        <f>-LARGE($E$2:$E$241,59)</f>
        <v>9.4407699999999988</v>
      </c>
      <c r="L60" s="59">
        <f t="shared" si="4"/>
        <v>77</v>
      </c>
      <c r="M60" s="90" t="str">
        <f t="shared" si="3"/>
        <v>SP18 Płock</v>
      </c>
      <c r="N60" s="37">
        <v>59</v>
      </c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</row>
    <row r="61" spans="2:39" ht="17.25" thickTop="1" thickBot="1">
      <c r="B61" t="str">
        <f>wyniki!B76</f>
        <v>Urbaniak Igor</v>
      </c>
      <c r="C61" s="56">
        <f>wyniki!C76</f>
        <v>9.1999999999999993</v>
      </c>
      <c r="D61" s="18">
        <v>-5.9999999999999995E-4</v>
      </c>
      <c r="E61" s="56">
        <f t="shared" si="0"/>
        <v>-9.2005999999999997</v>
      </c>
      <c r="F61" t="str">
        <f>wyniki!$A$70</f>
        <v xml:space="preserve">SP Jednorożec </v>
      </c>
      <c r="G61" s="56">
        <f t="shared" si="1"/>
        <v>-9.1999999999999993</v>
      </c>
      <c r="J61" s="79" t="str">
        <f t="shared" si="2"/>
        <v>Sala Szymon</v>
      </c>
      <c r="K61" s="61">
        <f>-LARGE($E$2:$E$241,60)</f>
        <v>9.5002300000000002</v>
      </c>
      <c r="L61" s="59">
        <f t="shared" si="4"/>
        <v>23</v>
      </c>
      <c r="M61" s="90" t="str">
        <f t="shared" si="3"/>
        <v>SP2 Szydłowiec</v>
      </c>
      <c r="N61" s="37">
        <v>60</v>
      </c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</row>
    <row r="62" spans="2:39" ht="17.25" thickTop="1" thickBot="1">
      <c r="B62" t="str">
        <f>wyniki!B78</f>
        <v>Balcer Antoni</v>
      </c>
      <c r="C62" s="56">
        <f>wyniki!C78</f>
        <v>8.65</v>
      </c>
      <c r="D62" s="18">
        <v>-6.0999999999999997E-4</v>
      </c>
      <c r="E62" s="56">
        <f t="shared" si="0"/>
        <v>-8.6506100000000004</v>
      </c>
      <c r="F62" t="str">
        <f>wyniki!$A$77</f>
        <v>SP2 Zielonka</v>
      </c>
      <c r="G62" s="56">
        <f t="shared" si="1"/>
        <v>-8.65</v>
      </c>
      <c r="J62" s="79" t="str">
        <f t="shared" si="2"/>
        <v>Banaszczyk Dawid</v>
      </c>
      <c r="K62" s="61">
        <f>-LARGE($E$2:$E$241,61)</f>
        <v>9.5101899999999997</v>
      </c>
      <c r="L62" s="59">
        <f t="shared" si="4"/>
        <v>19</v>
      </c>
      <c r="M62" s="90" t="str">
        <f t="shared" si="3"/>
        <v>SP2 Szydłowiec</v>
      </c>
      <c r="N62" s="37">
        <v>61</v>
      </c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</row>
    <row r="63" spans="2:39" ht="17.25" thickTop="1" thickBot="1">
      <c r="B63" t="str">
        <f>wyniki!B79</f>
        <v>Kobielski Mateusz</v>
      </c>
      <c r="C63" s="56">
        <f>wyniki!C79</f>
        <v>8.73</v>
      </c>
      <c r="D63" s="18">
        <v>-6.2E-4</v>
      </c>
      <c r="E63" s="56">
        <f t="shared" si="0"/>
        <v>-8.73062</v>
      </c>
      <c r="F63" t="str">
        <f>wyniki!$A$77</f>
        <v>SP2 Zielonka</v>
      </c>
      <c r="G63" s="56">
        <f t="shared" si="1"/>
        <v>-8.73</v>
      </c>
      <c r="J63" s="79" t="str">
        <f t="shared" si="2"/>
        <v>Porębski Jakub</v>
      </c>
      <c r="K63" s="61">
        <f>-LARGE($E$2:$E$241,62)</f>
        <v>9.520389999999999</v>
      </c>
      <c r="L63" s="59">
        <f t="shared" si="4"/>
        <v>39</v>
      </c>
      <c r="M63" s="90" t="str">
        <f t="shared" si="3"/>
        <v>SP204 Warszawa</v>
      </c>
      <c r="N63" s="37">
        <v>62</v>
      </c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</row>
    <row r="64" spans="2:39" ht="17.25" thickTop="1" thickBot="1">
      <c r="B64" t="str">
        <f>wyniki!B80</f>
        <v>Ducki Michał</v>
      </c>
      <c r="C64" s="56">
        <f>wyniki!C80</f>
        <v>9.41</v>
      </c>
      <c r="D64" s="18">
        <v>-6.3000000000000003E-4</v>
      </c>
      <c r="E64" s="56">
        <f t="shared" si="0"/>
        <v>-9.4106299999999994</v>
      </c>
      <c r="F64" t="str">
        <f>wyniki!$A$77</f>
        <v>SP2 Zielonka</v>
      </c>
      <c r="G64" s="56">
        <f t="shared" si="1"/>
        <v>-9.41</v>
      </c>
      <c r="J64" s="79" t="str">
        <f t="shared" si="2"/>
        <v>Sajewicz Piotr</v>
      </c>
      <c r="K64" s="61">
        <f>-LARGE($E$2:$E$241,63)</f>
        <v>9.5302799999999994</v>
      </c>
      <c r="L64" s="59">
        <f t="shared" si="4"/>
        <v>28</v>
      </c>
      <c r="M64" s="90" t="str">
        <f t="shared" si="3"/>
        <v>SP9 Siedlce</v>
      </c>
      <c r="N64" s="37">
        <v>63</v>
      </c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</row>
    <row r="65" spans="2:39" ht="17.25" thickTop="1" thickBot="1">
      <c r="B65" t="str">
        <f>wyniki!B81</f>
        <v>Kochański Adrian</v>
      </c>
      <c r="C65" s="56">
        <f>wyniki!C81</f>
        <v>9.42</v>
      </c>
      <c r="D65" s="18">
        <v>-6.4000000000000005E-4</v>
      </c>
      <c r="E65" s="56">
        <f t="shared" si="0"/>
        <v>-9.4206400000000006</v>
      </c>
      <c r="F65" t="str">
        <f>wyniki!$A$77</f>
        <v>SP2 Zielonka</v>
      </c>
      <c r="G65" s="56">
        <f t="shared" si="1"/>
        <v>-9.42</v>
      </c>
      <c r="J65" s="79" t="str">
        <f t="shared" si="2"/>
        <v>Starzak Brajan</v>
      </c>
      <c r="K65" s="61">
        <f>-LARGE($E$2:$E$241,64)</f>
        <v>9.5306999999999995</v>
      </c>
      <c r="L65" s="59">
        <f t="shared" si="4"/>
        <v>70</v>
      </c>
      <c r="M65" s="90" t="str">
        <f t="shared" si="3"/>
        <v>SP2 Mława</v>
      </c>
      <c r="N65" s="37">
        <v>64</v>
      </c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</row>
    <row r="66" spans="2:39" ht="17.25" thickTop="1" thickBot="1">
      <c r="B66" t="str">
        <f>wyniki!B82</f>
        <v>Sienkiewicz Marcin</v>
      </c>
      <c r="C66" s="56">
        <f>wyniki!C82</f>
        <v>9.57</v>
      </c>
      <c r="D66" s="18">
        <v>-6.4999999999999997E-4</v>
      </c>
      <c r="E66" s="56">
        <f t="shared" si="0"/>
        <v>-9.5706500000000005</v>
      </c>
      <c r="F66" t="str">
        <f>wyniki!$A$77</f>
        <v>SP2 Zielonka</v>
      </c>
      <c r="G66" s="56">
        <f t="shared" si="1"/>
        <v>-9.57</v>
      </c>
      <c r="J66" s="79" t="str">
        <f t="shared" si="2"/>
        <v>Sienkiewicz Marcin</v>
      </c>
      <c r="K66" s="61">
        <f>-LARGE($E$2:$E$241,65)</f>
        <v>9.5706500000000005</v>
      </c>
      <c r="L66" s="59">
        <f t="shared" si="4"/>
        <v>65</v>
      </c>
      <c r="M66" s="90" t="str">
        <f t="shared" si="3"/>
        <v>SP2 Zielonka</v>
      </c>
      <c r="N66" s="37">
        <v>65</v>
      </c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</row>
    <row r="67" spans="2:39" ht="17.25" thickTop="1" thickBot="1">
      <c r="B67" t="str">
        <f>wyniki!B83</f>
        <v>Zwierzchowski Krystian</v>
      </c>
      <c r="C67" s="56">
        <f>wyniki!C83</f>
        <v>9.42</v>
      </c>
      <c r="D67" s="18">
        <v>-6.6E-4</v>
      </c>
      <c r="E67" s="56">
        <f t="shared" ref="E67:E130" si="5">IF(C67&gt;1,G67+D67)</f>
        <v>-9.4206599999999998</v>
      </c>
      <c r="F67" t="str">
        <f>wyniki!$A$77</f>
        <v>SP2 Zielonka</v>
      </c>
      <c r="G67" s="56">
        <f t="shared" ref="G67:G130" si="6">-C67</f>
        <v>-9.42</v>
      </c>
      <c r="J67" s="79" t="str">
        <f t="shared" ref="J67:J130" si="7">INDEX($B$2:$E$241,L67,1)</f>
        <v>Kaczerski Kuba</v>
      </c>
      <c r="K67" s="61">
        <f>-LARGE($E$2:$E$241,66)</f>
        <v>9.60032</v>
      </c>
      <c r="L67" s="59">
        <f t="shared" si="4"/>
        <v>32</v>
      </c>
      <c r="M67" s="90" t="str">
        <f t="shared" ref="M67:M130" si="8">INDEX($E$2:$F$241,L67,2)</f>
        <v>SP1 Ostrów Maz</v>
      </c>
      <c r="N67" s="37">
        <v>66</v>
      </c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</row>
    <row r="68" spans="2:39" ht="17.25" thickTop="1" thickBot="1">
      <c r="B68" t="str">
        <f>wyniki!B85</f>
        <v>Cendrowski Kacper</v>
      </c>
      <c r="C68" s="56">
        <f>wyniki!C85</f>
        <v>8.68</v>
      </c>
      <c r="D68" s="18">
        <v>-6.7000000000000002E-4</v>
      </c>
      <c r="E68" s="56">
        <f t="shared" si="5"/>
        <v>-8.6806699999999992</v>
      </c>
      <c r="F68" t="str">
        <f>wyniki!$A$84</f>
        <v>SP2 Mława</v>
      </c>
      <c r="G68" s="56">
        <f t="shared" si="6"/>
        <v>-8.68</v>
      </c>
      <c r="J68" s="79" t="str">
        <f t="shared" si="7"/>
        <v>Trzos Szymon</v>
      </c>
      <c r="K68" s="61">
        <f>-LARGE($E$2:$E$241,67)</f>
        <v>9.6301100000000002</v>
      </c>
      <c r="L68" s="59">
        <f t="shared" ref="L68:L131" si="9">MATCH(-K68,$E$2:$E$241,0)</f>
        <v>11</v>
      </c>
      <c r="M68" s="90" t="str">
        <f t="shared" si="8"/>
        <v>PSP24 Radom</v>
      </c>
      <c r="N68" s="37">
        <v>67</v>
      </c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</row>
    <row r="69" spans="2:39" ht="17.25" thickTop="1" thickBot="1">
      <c r="B69" t="str">
        <f>wyniki!B86</f>
        <v>Domżalski Szymon</v>
      </c>
      <c r="C69" s="56">
        <f>wyniki!C86</f>
        <v>9.16</v>
      </c>
      <c r="D69" s="18">
        <v>-6.8000000000000005E-4</v>
      </c>
      <c r="E69" s="56">
        <f t="shared" si="5"/>
        <v>-9.1606799999999993</v>
      </c>
      <c r="F69" t="str">
        <f>wyniki!$A$84</f>
        <v>SP2 Mława</v>
      </c>
      <c r="G69" s="56">
        <f t="shared" si="6"/>
        <v>-9.16</v>
      </c>
      <c r="J69" s="79" t="str">
        <f t="shared" si="7"/>
        <v>Dyszkowski Mateusz</v>
      </c>
      <c r="K69" s="61">
        <f>-LARGE($E$2:$E$241,68)</f>
        <v>9.6404399999999999</v>
      </c>
      <c r="L69" s="59">
        <f t="shared" si="9"/>
        <v>44</v>
      </c>
      <c r="M69" s="90" t="str">
        <f t="shared" si="8"/>
        <v>SP Zielonki Parcela</v>
      </c>
      <c r="N69" s="37">
        <v>68</v>
      </c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</row>
    <row r="70" spans="2:39" ht="17.25" thickTop="1" thickBot="1">
      <c r="B70" t="str">
        <f>wyniki!B87</f>
        <v>Jędrzejewski Kamil</v>
      </c>
      <c r="C70" s="56">
        <f>wyniki!C87</f>
        <v>9.41</v>
      </c>
      <c r="D70" s="18">
        <v>-6.8999999999999997E-4</v>
      </c>
      <c r="E70" s="56">
        <f t="shared" si="5"/>
        <v>-9.4106900000000007</v>
      </c>
      <c r="F70" t="str">
        <f>wyniki!$A$84</f>
        <v>SP2 Mława</v>
      </c>
      <c r="G70" s="56">
        <f t="shared" si="6"/>
        <v>-9.41</v>
      </c>
      <c r="J70" s="79" t="str">
        <f t="shared" si="7"/>
        <v>Dąbrowski Franciszek</v>
      </c>
      <c r="K70" s="61">
        <f>-LARGE($E$2:$E$241,69)</f>
        <v>9.6605000000000008</v>
      </c>
      <c r="L70" s="59">
        <f t="shared" si="9"/>
        <v>50</v>
      </c>
      <c r="M70" s="90" t="str">
        <f t="shared" si="8"/>
        <v>SP154 Warszawa</v>
      </c>
      <c r="N70" s="37">
        <v>69</v>
      </c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</row>
    <row r="71" spans="2:39" ht="17.25" thickTop="1" thickBot="1">
      <c r="B71" t="str">
        <f>wyniki!B88</f>
        <v>Starzak Brajan</v>
      </c>
      <c r="C71" s="56">
        <f>wyniki!C88</f>
        <v>9.5299999999999994</v>
      </c>
      <c r="D71" s="18">
        <v>-6.9999999999999999E-4</v>
      </c>
      <c r="E71" s="56">
        <f t="shared" si="5"/>
        <v>-9.5306999999999995</v>
      </c>
      <c r="F71" t="str">
        <f>wyniki!$A$84</f>
        <v>SP2 Mława</v>
      </c>
      <c r="G71" s="56">
        <f t="shared" si="6"/>
        <v>-9.5299999999999994</v>
      </c>
      <c r="J71" s="79" t="str">
        <f t="shared" si="7"/>
        <v>Redes Maciej</v>
      </c>
      <c r="K71" s="61">
        <f>-LARGE($E$2:$E$241,70)</f>
        <v>9.6900399999999998</v>
      </c>
      <c r="L71" s="59">
        <f t="shared" si="9"/>
        <v>4</v>
      </c>
      <c r="M71" s="90" t="str">
        <f t="shared" si="8"/>
        <v>SP8 Siedlce</v>
      </c>
      <c r="N71" s="37">
        <v>70</v>
      </c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2:39" ht="17.25" thickTop="1" thickBot="1">
      <c r="B72" t="str">
        <f>wyniki!B89</f>
        <v>Czaplicki Karol</v>
      </c>
      <c r="C72" s="56">
        <f>wyniki!C89</f>
        <v>10.18</v>
      </c>
      <c r="D72" s="18">
        <v>-7.1000000000000002E-4</v>
      </c>
      <c r="E72" s="56">
        <f t="shared" si="5"/>
        <v>-10.180709999999999</v>
      </c>
      <c r="F72" t="str">
        <f>wyniki!$A$84</f>
        <v>SP2 Mława</v>
      </c>
      <c r="G72" s="56">
        <f t="shared" si="6"/>
        <v>-10.18</v>
      </c>
      <c r="J72" s="79" t="str">
        <f t="shared" si="7"/>
        <v>Nitychoruk Maciej</v>
      </c>
      <c r="K72" s="61">
        <f>-LARGE($E$2:$E$241,71)</f>
        <v>9.81006</v>
      </c>
      <c r="L72" s="59">
        <f t="shared" si="9"/>
        <v>6</v>
      </c>
      <c r="M72" s="90" t="str">
        <f t="shared" si="8"/>
        <v>SP8 Siedlce</v>
      </c>
      <c r="N72" s="37">
        <v>71</v>
      </c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</row>
    <row r="73" spans="2:39" ht="17.25" thickTop="1" thickBot="1">
      <c r="B73">
        <f>wyniki!B90</f>
        <v>0</v>
      </c>
      <c r="C73" s="56">
        <f>wyniki!C90</f>
        <v>0</v>
      </c>
      <c r="D73" s="18">
        <v>-7.2000000000000005E-4</v>
      </c>
      <c r="E73" s="56" t="b">
        <f t="shared" si="5"/>
        <v>0</v>
      </c>
      <c r="F73" t="str">
        <f>wyniki!$A$84</f>
        <v>SP2 Mława</v>
      </c>
      <c r="G73" s="56">
        <f t="shared" si="6"/>
        <v>0</v>
      </c>
      <c r="J73" s="79" t="str">
        <f t="shared" si="7"/>
        <v>Kowalski Tymoteusz</v>
      </c>
      <c r="K73" s="61">
        <f>-LARGE($E$2:$E$241,72)</f>
        <v>9.8104500000000012</v>
      </c>
      <c r="L73" s="59">
        <f t="shared" si="9"/>
        <v>45</v>
      </c>
      <c r="M73" s="90" t="str">
        <f t="shared" si="8"/>
        <v>SP Zielonki Parcela</v>
      </c>
      <c r="N73" s="37">
        <v>72</v>
      </c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</row>
    <row r="74" spans="2:39" ht="17.25" thickTop="1" thickBot="1">
      <c r="B74" t="str">
        <f>wyniki!B92</f>
        <v>Kołodziej Adam</v>
      </c>
      <c r="C74" s="56">
        <f>wyniki!C92</f>
        <v>9.09</v>
      </c>
      <c r="D74" s="18">
        <v>-7.2999999999999996E-4</v>
      </c>
      <c r="E74" s="56">
        <f t="shared" si="5"/>
        <v>-9.0907300000000006</v>
      </c>
      <c r="F74" t="str">
        <f>wyniki!$A$91</f>
        <v>SP18 Płock</v>
      </c>
      <c r="G74" s="56">
        <f t="shared" si="6"/>
        <v>-9.09</v>
      </c>
      <c r="J74" s="79" t="str">
        <f t="shared" si="7"/>
        <v>Walasik Kacper</v>
      </c>
      <c r="K74" s="61">
        <f>-LARGE($E$2:$E$241,73)</f>
        <v>9.8402399999999997</v>
      </c>
      <c r="L74" s="59">
        <f t="shared" si="9"/>
        <v>24</v>
      </c>
      <c r="M74" s="90" t="str">
        <f t="shared" si="8"/>
        <v>SP2 Szydłowiec</v>
      </c>
      <c r="N74" s="37">
        <v>73</v>
      </c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</row>
    <row r="75" spans="2:39" ht="17.25" thickTop="1" thickBot="1">
      <c r="B75" t="str">
        <f>wyniki!B93</f>
        <v>Leszczyński Kacper</v>
      </c>
      <c r="C75" s="56">
        <f>wyniki!C93</f>
        <v>8.77</v>
      </c>
      <c r="D75" s="18">
        <v>-7.3999999999999999E-4</v>
      </c>
      <c r="E75" s="56">
        <f t="shared" si="5"/>
        <v>-8.77074</v>
      </c>
      <c r="F75" t="str">
        <f>wyniki!$A$91</f>
        <v>SP18 Płock</v>
      </c>
      <c r="G75" s="56">
        <f t="shared" si="6"/>
        <v>-8.77</v>
      </c>
      <c r="J75" s="79" t="str">
        <f t="shared" si="7"/>
        <v>Płachecki Sebastian</v>
      </c>
      <c r="K75" s="61">
        <f>-LARGE($E$2:$E$241,74)</f>
        <v>10.000780000000001</v>
      </c>
      <c r="L75" s="59">
        <f t="shared" si="9"/>
        <v>78</v>
      </c>
      <c r="M75" s="90" t="str">
        <f t="shared" si="8"/>
        <v>SP18 Płock</v>
      </c>
      <c r="N75" s="37">
        <v>74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spans="2:39" ht="17.25" thickTop="1" thickBot="1">
      <c r="B76" t="str">
        <f>wyniki!B94</f>
        <v>Lewandowski Bartosz</v>
      </c>
      <c r="C76" s="56">
        <f>wyniki!C94</f>
        <v>9.02</v>
      </c>
      <c r="D76" s="18">
        <v>-7.5000000000000002E-4</v>
      </c>
      <c r="E76" s="56">
        <f t="shared" si="5"/>
        <v>-9.0207499999999996</v>
      </c>
      <c r="F76" t="str">
        <f>wyniki!$A$91</f>
        <v>SP18 Płock</v>
      </c>
      <c r="G76" s="56">
        <f t="shared" si="6"/>
        <v>-9.02</v>
      </c>
      <c r="J76" s="79" t="str">
        <f t="shared" si="7"/>
        <v>Czaplicki Karol</v>
      </c>
      <c r="K76" s="61">
        <f>-LARGE($E$2:$E$241,75)</f>
        <v>10.180709999999999</v>
      </c>
      <c r="L76" s="59">
        <f t="shared" si="9"/>
        <v>71</v>
      </c>
      <c r="M76" s="90" t="str">
        <f t="shared" si="8"/>
        <v>SP2 Mława</v>
      </c>
      <c r="N76" s="37">
        <v>75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2:39" ht="17.25" thickTop="1" thickBot="1">
      <c r="B77" t="str">
        <f>wyniki!B95</f>
        <v>Michalski Piotr</v>
      </c>
      <c r="C77" s="56">
        <f>wyniki!C95</f>
        <v>8.8800000000000008</v>
      </c>
      <c r="D77" s="18">
        <v>-7.6000000000000004E-4</v>
      </c>
      <c r="E77" s="56">
        <f t="shared" si="5"/>
        <v>-8.8807600000000004</v>
      </c>
      <c r="F77" t="str">
        <f>wyniki!$A$91</f>
        <v>SP18 Płock</v>
      </c>
      <c r="G77" s="56">
        <f t="shared" si="6"/>
        <v>-8.8800000000000008</v>
      </c>
      <c r="J77" s="79" t="str">
        <f t="shared" si="7"/>
        <v>Malec Alan</v>
      </c>
      <c r="K77" s="61">
        <f>-LARGE($E$2:$E$241,76)</f>
        <v>10.35033</v>
      </c>
      <c r="L77" s="59">
        <f t="shared" si="9"/>
        <v>33</v>
      </c>
      <c r="M77" s="90" t="str">
        <f t="shared" si="8"/>
        <v>SP1 Ostrów Maz</v>
      </c>
      <c r="N77" s="37">
        <v>76</v>
      </c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</row>
    <row r="78" spans="2:39" ht="17.25" thickTop="1" thickBot="1">
      <c r="B78" t="str">
        <f>wyniki!B96</f>
        <v>Olichwiruk Piotr</v>
      </c>
      <c r="C78" s="56">
        <f>wyniki!C96</f>
        <v>9.44</v>
      </c>
      <c r="D78" s="18">
        <v>-7.6999999999999996E-4</v>
      </c>
      <c r="E78" s="56">
        <f t="shared" si="5"/>
        <v>-9.4407699999999988</v>
      </c>
      <c r="F78" t="str">
        <f>wyniki!$A$91</f>
        <v>SP18 Płock</v>
      </c>
      <c r="G78" s="56">
        <f t="shared" si="6"/>
        <v>-9.44</v>
      </c>
      <c r="J78" s="79" t="e">
        <f t="shared" si="7"/>
        <v>#NUM!</v>
      </c>
      <c r="K78" s="61" t="e">
        <f>-LARGE($E$2:$E$241,77)</f>
        <v>#NUM!</v>
      </c>
      <c r="L78" s="59" t="e">
        <f t="shared" si="9"/>
        <v>#NUM!</v>
      </c>
      <c r="M78" s="90" t="e">
        <f t="shared" si="8"/>
        <v>#NUM!</v>
      </c>
      <c r="N78" s="37">
        <v>77</v>
      </c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</row>
    <row r="79" spans="2:39" ht="17.25" thickTop="1" thickBot="1">
      <c r="B79" t="str">
        <f>wyniki!B97</f>
        <v>Płachecki Sebastian</v>
      </c>
      <c r="C79" s="56">
        <f>wyniki!C97</f>
        <v>10</v>
      </c>
      <c r="D79" s="18">
        <v>-7.7999999999999999E-4</v>
      </c>
      <c r="E79" s="56">
        <f t="shared" si="5"/>
        <v>-10.000780000000001</v>
      </c>
      <c r="F79" t="str">
        <f>wyniki!$A$91</f>
        <v>SP18 Płock</v>
      </c>
      <c r="G79" s="56">
        <f t="shared" si="6"/>
        <v>-10</v>
      </c>
      <c r="J79" s="79" t="e">
        <f t="shared" si="7"/>
        <v>#NUM!</v>
      </c>
      <c r="K79" s="61" t="e">
        <f>-LARGE($E$2:$E$241,78)</f>
        <v>#NUM!</v>
      </c>
      <c r="L79" s="59" t="e">
        <f t="shared" si="9"/>
        <v>#NUM!</v>
      </c>
      <c r="M79" s="90" t="e">
        <f t="shared" si="8"/>
        <v>#NUM!</v>
      </c>
      <c r="N79" s="37">
        <v>78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</row>
    <row r="80" spans="2:39" ht="17.25" thickTop="1" thickBot="1">
      <c r="B80">
        <f>wyniki!B99</f>
        <v>0</v>
      </c>
      <c r="C80" s="56">
        <f>wyniki!C99</f>
        <v>0</v>
      </c>
      <c r="D80" s="18">
        <v>-7.9000000000000001E-4</v>
      </c>
      <c r="E80" s="56" t="b">
        <f t="shared" si="5"/>
        <v>0</v>
      </c>
      <c r="F80">
        <f>wyniki!$A$98</f>
        <v>0</v>
      </c>
      <c r="G80" s="56">
        <f t="shared" si="6"/>
        <v>0</v>
      </c>
      <c r="J80" s="79" t="e">
        <f t="shared" si="7"/>
        <v>#NUM!</v>
      </c>
      <c r="K80" s="61" t="e">
        <f>-LARGE($E$2:$E$241,79)</f>
        <v>#NUM!</v>
      </c>
      <c r="L80" s="59" t="e">
        <f t="shared" si="9"/>
        <v>#NUM!</v>
      </c>
      <c r="M80" s="90" t="e">
        <f t="shared" si="8"/>
        <v>#NUM!</v>
      </c>
      <c r="N80" s="37">
        <v>79</v>
      </c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</row>
    <row r="81" spans="2:39" ht="17.25" thickTop="1" thickBot="1">
      <c r="B81">
        <f>wyniki!B100</f>
        <v>0</v>
      </c>
      <c r="C81" s="56">
        <f>wyniki!C100</f>
        <v>0</v>
      </c>
      <c r="D81" s="18">
        <v>-8.0000000000000004E-4</v>
      </c>
      <c r="E81" s="56" t="b">
        <f t="shared" si="5"/>
        <v>0</v>
      </c>
      <c r="F81">
        <f>wyniki!$A$98</f>
        <v>0</v>
      </c>
      <c r="G81" s="56">
        <f t="shared" si="6"/>
        <v>0</v>
      </c>
      <c r="J81" s="79" t="e">
        <f t="shared" si="7"/>
        <v>#NUM!</v>
      </c>
      <c r="K81" s="61" t="e">
        <f>-LARGE($E$2:$E$241,80)</f>
        <v>#NUM!</v>
      </c>
      <c r="L81" s="59" t="e">
        <f t="shared" si="9"/>
        <v>#NUM!</v>
      </c>
      <c r="M81" s="90" t="e">
        <f t="shared" si="8"/>
        <v>#NUM!</v>
      </c>
      <c r="N81" s="37">
        <v>80</v>
      </c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</row>
    <row r="82" spans="2:39" ht="17.25" thickTop="1" thickBot="1">
      <c r="B82">
        <f>wyniki!B101</f>
        <v>0</v>
      </c>
      <c r="C82" s="56">
        <f>wyniki!C101</f>
        <v>0</v>
      </c>
      <c r="D82" s="18">
        <v>-8.0999999999999996E-4</v>
      </c>
      <c r="E82" s="56" t="b">
        <f t="shared" si="5"/>
        <v>0</v>
      </c>
      <c r="F82">
        <f>wyniki!$A$98</f>
        <v>0</v>
      </c>
      <c r="G82" s="56">
        <f t="shared" si="6"/>
        <v>0</v>
      </c>
      <c r="J82" s="79" t="e">
        <f t="shared" si="7"/>
        <v>#NUM!</v>
      </c>
      <c r="K82" s="61" t="e">
        <f>-LARGE($E$2:$E$241,81)</f>
        <v>#NUM!</v>
      </c>
      <c r="L82" s="59" t="e">
        <f t="shared" si="9"/>
        <v>#NUM!</v>
      </c>
      <c r="M82" s="90" t="e">
        <f t="shared" si="8"/>
        <v>#NUM!</v>
      </c>
      <c r="N82" s="37">
        <v>81</v>
      </c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</row>
    <row r="83" spans="2:39" ht="17.25" thickTop="1" thickBot="1">
      <c r="B83">
        <f>wyniki!B102</f>
        <v>0</v>
      </c>
      <c r="C83" s="56">
        <f>wyniki!C102</f>
        <v>0</v>
      </c>
      <c r="D83" s="18">
        <v>-8.1999999999999998E-4</v>
      </c>
      <c r="E83" s="56" t="b">
        <f t="shared" si="5"/>
        <v>0</v>
      </c>
      <c r="F83">
        <f>wyniki!$A$98</f>
        <v>0</v>
      </c>
      <c r="G83" s="56">
        <f t="shared" si="6"/>
        <v>0</v>
      </c>
      <c r="J83" s="79" t="e">
        <f t="shared" si="7"/>
        <v>#NUM!</v>
      </c>
      <c r="K83" s="61" t="e">
        <f>-LARGE($E$2:$E$241,82)</f>
        <v>#NUM!</v>
      </c>
      <c r="L83" s="59" t="e">
        <f t="shared" si="9"/>
        <v>#NUM!</v>
      </c>
      <c r="M83" s="90" t="e">
        <f t="shared" si="8"/>
        <v>#NUM!</v>
      </c>
      <c r="N83" s="37">
        <v>82</v>
      </c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</row>
    <row r="84" spans="2:39" ht="17.25" thickTop="1" thickBot="1">
      <c r="B84">
        <f>wyniki!B103</f>
        <v>0</v>
      </c>
      <c r="C84" s="56">
        <f>wyniki!C103</f>
        <v>0</v>
      </c>
      <c r="D84" s="18">
        <v>-8.3000000000000001E-4</v>
      </c>
      <c r="E84" s="56" t="b">
        <f t="shared" si="5"/>
        <v>0</v>
      </c>
      <c r="F84">
        <f>wyniki!$A$98</f>
        <v>0</v>
      </c>
      <c r="G84" s="56">
        <f t="shared" si="6"/>
        <v>0</v>
      </c>
      <c r="J84" s="79" t="e">
        <f t="shared" si="7"/>
        <v>#NUM!</v>
      </c>
      <c r="K84" s="61" t="e">
        <f>-LARGE($E$2:$E$241,83)</f>
        <v>#NUM!</v>
      </c>
      <c r="L84" s="59" t="e">
        <f t="shared" si="9"/>
        <v>#NUM!</v>
      </c>
      <c r="M84" s="90" t="e">
        <f t="shared" si="8"/>
        <v>#NUM!</v>
      </c>
      <c r="N84" s="37">
        <v>83</v>
      </c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</row>
    <row r="85" spans="2:39" ht="17.25" thickTop="1" thickBot="1">
      <c r="B85">
        <f>wyniki!B104</f>
        <v>0</v>
      </c>
      <c r="C85" s="56">
        <f>wyniki!C104</f>
        <v>0</v>
      </c>
      <c r="D85" s="18">
        <v>-8.4000000000000003E-4</v>
      </c>
      <c r="E85" s="56" t="b">
        <f t="shared" si="5"/>
        <v>0</v>
      </c>
      <c r="F85">
        <f>wyniki!$A$98</f>
        <v>0</v>
      </c>
      <c r="G85" s="56">
        <f t="shared" si="6"/>
        <v>0</v>
      </c>
      <c r="J85" s="79" t="e">
        <f t="shared" si="7"/>
        <v>#NUM!</v>
      </c>
      <c r="K85" s="61" t="e">
        <f>-LARGE($E$2:$E$241,84)</f>
        <v>#NUM!</v>
      </c>
      <c r="L85" s="59" t="e">
        <f t="shared" si="9"/>
        <v>#NUM!</v>
      </c>
      <c r="M85" s="90" t="e">
        <f t="shared" si="8"/>
        <v>#NUM!</v>
      </c>
      <c r="N85" s="37">
        <v>84</v>
      </c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</row>
    <row r="86" spans="2:39" ht="17.25" thickTop="1" thickBot="1">
      <c r="B86">
        <f>wyniki!B106</f>
        <v>0</v>
      </c>
      <c r="C86" s="56">
        <f>wyniki!C106</f>
        <v>0</v>
      </c>
      <c r="D86" s="18">
        <v>-8.4999999999999995E-4</v>
      </c>
      <c r="E86" s="56" t="b">
        <f t="shared" si="5"/>
        <v>0</v>
      </c>
      <c r="F86">
        <f>wyniki!$A$105</f>
        <v>0</v>
      </c>
      <c r="G86" s="56">
        <f t="shared" si="6"/>
        <v>0</v>
      </c>
      <c r="J86" s="79" t="e">
        <f t="shared" si="7"/>
        <v>#NUM!</v>
      </c>
      <c r="K86" s="61" t="e">
        <f>-LARGE($E$2:$E$241,85)</f>
        <v>#NUM!</v>
      </c>
      <c r="L86" s="59" t="e">
        <f t="shared" si="9"/>
        <v>#NUM!</v>
      </c>
      <c r="M86" s="90" t="e">
        <f t="shared" si="8"/>
        <v>#NUM!</v>
      </c>
      <c r="N86" s="37">
        <v>85</v>
      </c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</row>
    <row r="87" spans="2:39" ht="17.25" thickTop="1" thickBot="1">
      <c r="B87">
        <f>wyniki!B107</f>
        <v>0</v>
      </c>
      <c r="C87" s="56">
        <f>wyniki!C107</f>
        <v>0</v>
      </c>
      <c r="D87" s="18">
        <v>-8.5999999999999998E-4</v>
      </c>
      <c r="E87" s="56" t="b">
        <f t="shared" si="5"/>
        <v>0</v>
      </c>
      <c r="F87">
        <f>wyniki!$A$105</f>
        <v>0</v>
      </c>
      <c r="G87" s="56">
        <f t="shared" si="6"/>
        <v>0</v>
      </c>
      <c r="J87" s="79" t="e">
        <f t="shared" si="7"/>
        <v>#NUM!</v>
      </c>
      <c r="K87" s="61" t="e">
        <f>-LARGE($E$2:$E$241,86)</f>
        <v>#NUM!</v>
      </c>
      <c r="L87" s="59" t="e">
        <f t="shared" si="9"/>
        <v>#NUM!</v>
      </c>
      <c r="M87" s="90" t="e">
        <f t="shared" si="8"/>
        <v>#NUM!</v>
      </c>
      <c r="N87" s="37">
        <v>86</v>
      </c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</row>
    <row r="88" spans="2:39" ht="17.25" thickTop="1" thickBot="1">
      <c r="B88">
        <f>wyniki!B108</f>
        <v>0</v>
      </c>
      <c r="C88" s="56">
        <f>wyniki!C108</f>
        <v>0</v>
      </c>
      <c r="D88" s="18">
        <v>-8.7000000000000001E-4</v>
      </c>
      <c r="E88" s="56" t="b">
        <f t="shared" si="5"/>
        <v>0</v>
      </c>
      <c r="F88">
        <f>wyniki!$A$105</f>
        <v>0</v>
      </c>
      <c r="G88" s="56">
        <f t="shared" si="6"/>
        <v>0</v>
      </c>
      <c r="J88" s="79" t="e">
        <f t="shared" si="7"/>
        <v>#NUM!</v>
      </c>
      <c r="K88" s="61" t="e">
        <f>-LARGE($E$2:$E$241,87)</f>
        <v>#NUM!</v>
      </c>
      <c r="L88" s="59" t="e">
        <f t="shared" si="9"/>
        <v>#NUM!</v>
      </c>
      <c r="M88" s="90" t="e">
        <f t="shared" si="8"/>
        <v>#NUM!</v>
      </c>
      <c r="N88" s="37">
        <v>87</v>
      </c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</row>
    <row r="89" spans="2:39" ht="17.25" thickTop="1" thickBot="1">
      <c r="B89">
        <f>wyniki!B109</f>
        <v>0</v>
      </c>
      <c r="C89" s="56">
        <f>wyniki!C109</f>
        <v>0</v>
      </c>
      <c r="D89" s="18">
        <v>-8.8000000000000003E-4</v>
      </c>
      <c r="E89" s="56" t="b">
        <f t="shared" si="5"/>
        <v>0</v>
      </c>
      <c r="F89">
        <f>wyniki!$A$105</f>
        <v>0</v>
      </c>
      <c r="G89" s="56">
        <f t="shared" si="6"/>
        <v>0</v>
      </c>
      <c r="J89" s="79" t="e">
        <f t="shared" si="7"/>
        <v>#NUM!</v>
      </c>
      <c r="K89" s="61" t="e">
        <f>-LARGE($E$2:$E$241,88)</f>
        <v>#NUM!</v>
      </c>
      <c r="L89" s="59" t="e">
        <f t="shared" si="9"/>
        <v>#NUM!</v>
      </c>
      <c r="M89" s="90" t="e">
        <f t="shared" si="8"/>
        <v>#NUM!</v>
      </c>
      <c r="N89" s="37">
        <v>88</v>
      </c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</row>
    <row r="90" spans="2:39" ht="17.25" thickTop="1" thickBot="1">
      <c r="B90">
        <f>wyniki!B110</f>
        <v>0</v>
      </c>
      <c r="C90" s="56">
        <f>wyniki!C110</f>
        <v>0</v>
      </c>
      <c r="D90" s="18">
        <v>-8.8999999999999995E-4</v>
      </c>
      <c r="E90" s="56" t="b">
        <f t="shared" si="5"/>
        <v>0</v>
      </c>
      <c r="F90">
        <f>wyniki!$A$105</f>
        <v>0</v>
      </c>
      <c r="G90" s="56">
        <f t="shared" si="6"/>
        <v>0</v>
      </c>
      <c r="J90" s="79" t="e">
        <f t="shared" si="7"/>
        <v>#NUM!</v>
      </c>
      <c r="K90" s="61" t="e">
        <f>-LARGE($E$2:$E$241,89)</f>
        <v>#NUM!</v>
      </c>
      <c r="L90" s="59" t="e">
        <f t="shared" si="9"/>
        <v>#NUM!</v>
      </c>
      <c r="M90" s="90" t="e">
        <f t="shared" si="8"/>
        <v>#NUM!</v>
      </c>
      <c r="N90" s="37">
        <v>89</v>
      </c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</row>
    <row r="91" spans="2:39" ht="17.25" thickTop="1" thickBot="1">
      <c r="B91">
        <f>wyniki!B111</f>
        <v>0</v>
      </c>
      <c r="C91" s="56">
        <f>wyniki!C111</f>
        <v>0</v>
      </c>
      <c r="D91" s="18">
        <v>-8.9999999999999998E-4</v>
      </c>
      <c r="E91" s="56" t="b">
        <f t="shared" si="5"/>
        <v>0</v>
      </c>
      <c r="F91">
        <f>wyniki!$A$105</f>
        <v>0</v>
      </c>
      <c r="G91" s="56">
        <f t="shared" si="6"/>
        <v>0</v>
      </c>
      <c r="J91" s="79" t="e">
        <f t="shared" si="7"/>
        <v>#NUM!</v>
      </c>
      <c r="K91" s="61" t="e">
        <f>-LARGE($E$2:$E$241,90)</f>
        <v>#NUM!</v>
      </c>
      <c r="L91" s="59" t="e">
        <f t="shared" si="9"/>
        <v>#NUM!</v>
      </c>
      <c r="M91" s="90" t="e">
        <f t="shared" si="8"/>
        <v>#NUM!</v>
      </c>
      <c r="N91" s="37">
        <v>90</v>
      </c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</row>
    <row r="92" spans="2:39" ht="17.25" thickTop="1" thickBot="1">
      <c r="B92">
        <f>wyniki!B113</f>
        <v>0</v>
      </c>
      <c r="C92" s="56">
        <f>wyniki!C113</f>
        <v>0</v>
      </c>
      <c r="D92" s="18">
        <v>-9.1E-4</v>
      </c>
      <c r="E92" s="56" t="b">
        <f t="shared" si="5"/>
        <v>0</v>
      </c>
      <c r="F92">
        <f>wyniki!$A$112</f>
        <v>0</v>
      </c>
      <c r="G92" s="56">
        <f t="shared" si="6"/>
        <v>0</v>
      </c>
      <c r="J92" s="79" t="e">
        <f t="shared" si="7"/>
        <v>#NUM!</v>
      </c>
      <c r="K92" s="61" t="e">
        <f>-LARGE($E$2:$E$241,91)</f>
        <v>#NUM!</v>
      </c>
      <c r="L92" s="59" t="e">
        <f t="shared" si="9"/>
        <v>#NUM!</v>
      </c>
      <c r="M92" s="90" t="e">
        <f t="shared" si="8"/>
        <v>#NUM!</v>
      </c>
      <c r="N92" s="37">
        <v>91</v>
      </c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</row>
    <row r="93" spans="2:39" ht="17.25" thickTop="1" thickBot="1">
      <c r="B93">
        <f>wyniki!B114</f>
        <v>0</v>
      </c>
      <c r="C93" s="56">
        <f>wyniki!C114</f>
        <v>0</v>
      </c>
      <c r="D93" s="18">
        <v>-9.2000000000000003E-4</v>
      </c>
      <c r="E93" s="56" t="b">
        <f t="shared" si="5"/>
        <v>0</v>
      </c>
      <c r="F93">
        <f>wyniki!$A$112</f>
        <v>0</v>
      </c>
      <c r="G93" s="56">
        <f t="shared" si="6"/>
        <v>0</v>
      </c>
      <c r="J93" s="79" t="e">
        <f t="shared" si="7"/>
        <v>#NUM!</v>
      </c>
      <c r="K93" s="61" t="e">
        <f>-LARGE($E$2:$E$241,92)</f>
        <v>#NUM!</v>
      </c>
      <c r="L93" s="59" t="e">
        <f t="shared" si="9"/>
        <v>#NUM!</v>
      </c>
      <c r="M93" s="90" t="e">
        <f t="shared" si="8"/>
        <v>#NUM!</v>
      </c>
      <c r="N93" s="37">
        <v>92</v>
      </c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</row>
    <row r="94" spans="2:39" ht="17.25" thickTop="1" thickBot="1">
      <c r="B94">
        <f>wyniki!B115</f>
        <v>0</v>
      </c>
      <c r="C94" s="56">
        <f>wyniki!C115</f>
        <v>0</v>
      </c>
      <c r="D94" s="18">
        <v>-9.3000000000000005E-4</v>
      </c>
      <c r="E94" s="56" t="b">
        <f t="shared" si="5"/>
        <v>0</v>
      </c>
      <c r="F94">
        <f>wyniki!$A$112</f>
        <v>0</v>
      </c>
      <c r="G94" s="56">
        <f t="shared" si="6"/>
        <v>0</v>
      </c>
      <c r="J94" s="79" t="e">
        <f t="shared" si="7"/>
        <v>#NUM!</v>
      </c>
      <c r="K94" s="61" t="e">
        <f>-LARGE($E$2:$E$241,93)</f>
        <v>#NUM!</v>
      </c>
      <c r="L94" s="59" t="e">
        <f t="shared" si="9"/>
        <v>#NUM!</v>
      </c>
      <c r="M94" s="90" t="e">
        <f t="shared" si="8"/>
        <v>#NUM!</v>
      </c>
      <c r="N94" s="37">
        <v>93</v>
      </c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</row>
    <row r="95" spans="2:39" ht="17.25" thickTop="1" thickBot="1">
      <c r="B95">
        <f>wyniki!B116</f>
        <v>0</v>
      </c>
      <c r="C95" s="56">
        <f>wyniki!C116</f>
        <v>0</v>
      </c>
      <c r="D95" s="18">
        <v>-9.3999999999999997E-4</v>
      </c>
      <c r="E95" s="56" t="b">
        <f t="shared" si="5"/>
        <v>0</v>
      </c>
      <c r="F95">
        <f>wyniki!$A$112</f>
        <v>0</v>
      </c>
      <c r="G95" s="56">
        <f t="shared" si="6"/>
        <v>0</v>
      </c>
      <c r="J95" s="79" t="e">
        <f t="shared" si="7"/>
        <v>#NUM!</v>
      </c>
      <c r="K95" s="61" t="e">
        <f>-LARGE($E$2:$E$241,94)</f>
        <v>#NUM!</v>
      </c>
      <c r="L95" s="59" t="e">
        <f t="shared" si="9"/>
        <v>#NUM!</v>
      </c>
      <c r="M95" s="90" t="e">
        <f t="shared" si="8"/>
        <v>#NUM!</v>
      </c>
      <c r="N95" s="37">
        <v>94</v>
      </c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</row>
    <row r="96" spans="2:39" ht="17.25" thickTop="1" thickBot="1">
      <c r="B96">
        <f>wyniki!B117</f>
        <v>0</v>
      </c>
      <c r="C96" s="56">
        <f>wyniki!C117</f>
        <v>0</v>
      </c>
      <c r="D96" s="18">
        <v>-9.5E-4</v>
      </c>
      <c r="E96" s="56" t="b">
        <f t="shared" si="5"/>
        <v>0</v>
      </c>
      <c r="F96">
        <f>wyniki!$A$112</f>
        <v>0</v>
      </c>
      <c r="G96" s="56">
        <f t="shared" si="6"/>
        <v>0</v>
      </c>
      <c r="J96" s="79" t="e">
        <f t="shared" si="7"/>
        <v>#NUM!</v>
      </c>
      <c r="K96" s="61" t="e">
        <f>-LARGE($E$2:$E$241,95)</f>
        <v>#NUM!</v>
      </c>
      <c r="L96" s="59" t="e">
        <f t="shared" si="9"/>
        <v>#NUM!</v>
      </c>
      <c r="M96" s="90" t="e">
        <f t="shared" si="8"/>
        <v>#NUM!</v>
      </c>
      <c r="N96" s="37">
        <v>95</v>
      </c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</row>
    <row r="97" spans="2:39" ht="17.25" thickTop="1" thickBot="1">
      <c r="B97">
        <f>wyniki!B118</f>
        <v>0</v>
      </c>
      <c r="C97" s="56">
        <f>wyniki!C118</f>
        <v>0</v>
      </c>
      <c r="D97" s="18">
        <v>-9.6000000000000002E-4</v>
      </c>
      <c r="E97" s="56" t="b">
        <f t="shared" si="5"/>
        <v>0</v>
      </c>
      <c r="F97">
        <f>wyniki!$A$112</f>
        <v>0</v>
      </c>
      <c r="G97" s="56">
        <f t="shared" si="6"/>
        <v>0</v>
      </c>
      <c r="J97" s="79" t="e">
        <f t="shared" si="7"/>
        <v>#NUM!</v>
      </c>
      <c r="K97" s="61" t="e">
        <f>-LARGE($E$2:$E$241,96)</f>
        <v>#NUM!</v>
      </c>
      <c r="L97" s="59" t="e">
        <f t="shared" si="9"/>
        <v>#NUM!</v>
      </c>
      <c r="M97" s="90" t="e">
        <f t="shared" si="8"/>
        <v>#NUM!</v>
      </c>
      <c r="N97" s="37">
        <v>96</v>
      </c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</row>
    <row r="98" spans="2:39" ht="17.25" thickTop="1" thickBot="1">
      <c r="B98">
        <f>wyniki!B120</f>
        <v>0</v>
      </c>
      <c r="C98" s="56">
        <f>wyniki!C120</f>
        <v>0</v>
      </c>
      <c r="D98" s="18">
        <v>-9.7000000000000005E-4</v>
      </c>
      <c r="E98" s="56" t="b">
        <f t="shared" si="5"/>
        <v>0</v>
      </c>
      <c r="F98">
        <f>wyniki!$A$119</f>
        <v>0</v>
      </c>
      <c r="G98" s="56">
        <f t="shared" si="6"/>
        <v>0</v>
      </c>
      <c r="J98" s="79" t="e">
        <f t="shared" si="7"/>
        <v>#NUM!</v>
      </c>
      <c r="K98" s="61" t="e">
        <f>-LARGE($E$2:$E$241,97)</f>
        <v>#NUM!</v>
      </c>
      <c r="L98" s="59" t="e">
        <f t="shared" si="9"/>
        <v>#NUM!</v>
      </c>
      <c r="M98" s="90" t="e">
        <f t="shared" si="8"/>
        <v>#NUM!</v>
      </c>
      <c r="N98" s="37">
        <v>97</v>
      </c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</row>
    <row r="99" spans="2:39" ht="17.25" thickTop="1" thickBot="1">
      <c r="B99">
        <f>wyniki!B121</f>
        <v>0</v>
      </c>
      <c r="C99" s="56">
        <f>wyniki!C121</f>
        <v>0</v>
      </c>
      <c r="D99" s="18">
        <v>-9.7999999999999997E-4</v>
      </c>
      <c r="E99" s="56" t="b">
        <f t="shared" si="5"/>
        <v>0</v>
      </c>
      <c r="F99">
        <f>wyniki!$A$119</f>
        <v>0</v>
      </c>
      <c r="G99" s="56">
        <f t="shared" si="6"/>
        <v>0</v>
      </c>
      <c r="J99" s="79" t="e">
        <f t="shared" si="7"/>
        <v>#NUM!</v>
      </c>
      <c r="K99" s="61" t="e">
        <f>-LARGE($E$2:$E$241,98)</f>
        <v>#NUM!</v>
      </c>
      <c r="L99" s="59" t="e">
        <f t="shared" si="9"/>
        <v>#NUM!</v>
      </c>
      <c r="M99" s="90" t="e">
        <f t="shared" si="8"/>
        <v>#NUM!</v>
      </c>
      <c r="N99" s="37">
        <v>98</v>
      </c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</row>
    <row r="100" spans="2:39" ht="17.25" thickTop="1" thickBot="1">
      <c r="B100">
        <f>wyniki!B122</f>
        <v>0</v>
      </c>
      <c r="C100" s="56">
        <f>wyniki!C122</f>
        <v>0</v>
      </c>
      <c r="D100" s="18">
        <v>-9.8999999999999999E-4</v>
      </c>
      <c r="E100" s="56" t="b">
        <f t="shared" si="5"/>
        <v>0</v>
      </c>
      <c r="F100">
        <f>wyniki!$A$119</f>
        <v>0</v>
      </c>
      <c r="G100" s="56">
        <f t="shared" si="6"/>
        <v>0</v>
      </c>
      <c r="J100" s="79" t="e">
        <f t="shared" si="7"/>
        <v>#NUM!</v>
      </c>
      <c r="K100" s="61" t="e">
        <f>-LARGE($E$2:$E$241,99)</f>
        <v>#NUM!</v>
      </c>
      <c r="L100" s="59" t="e">
        <f t="shared" si="9"/>
        <v>#NUM!</v>
      </c>
      <c r="M100" s="90" t="e">
        <f t="shared" si="8"/>
        <v>#NUM!</v>
      </c>
      <c r="N100" s="37">
        <v>99</v>
      </c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</row>
    <row r="101" spans="2:39" ht="17.25" thickTop="1" thickBot="1">
      <c r="B101">
        <f>wyniki!B123</f>
        <v>0</v>
      </c>
      <c r="C101" s="56">
        <f>wyniki!C123</f>
        <v>0</v>
      </c>
      <c r="D101" s="18">
        <v>-1E-3</v>
      </c>
      <c r="E101" s="56" t="b">
        <f t="shared" si="5"/>
        <v>0</v>
      </c>
      <c r="F101">
        <f>wyniki!$A$119</f>
        <v>0</v>
      </c>
      <c r="G101" s="56">
        <f t="shared" si="6"/>
        <v>0</v>
      </c>
      <c r="J101" s="79" t="e">
        <f t="shared" si="7"/>
        <v>#NUM!</v>
      </c>
      <c r="K101" s="61" t="e">
        <f>-LARGE($E$2:$E$241,100)</f>
        <v>#NUM!</v>
      </c>
      <c r="L101" s="59" t="e">
        <f t="shared" si="9"/>
        <v>#NUM!</v>
      </c>
      <c r="M101" s="90" t="e">
        <f t="shared" si="8"/>
        <v>#NUM!</v>
      </c>
      <c r="N101" s="37">
        <v>100</v>
      </c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</row>
    <row r="102" spans="2:39" ht="17.25" thickTop="1" thickBot="1">
      <c r="B102">
        <f>wyniki!B124</f>
        <v>0</v>
      </c>
      <c r="C102" s="56">
        <f>wyniki!C124</f>
        <v>0</v>
      </c>
      <c r="D102" s="18">
        <v>-1.01E-3</v>
      </c>
      <c r="E102" s="56" t="b">
        <f t="shared" si="5"/>
        <v>0</v>
      </c>
      <c r="F102">
        <f>wyniki!$A$119</f>
        <v>0</v>
      </c>
      <c r="G102" s="56">
        <f t="shared" si="6"/>
        <v>0</v>
      </c>
      <c r="J102" s="79" t="e">
        <f t="shared" si="7"/>
        <v>#NUM!</v>
      </c>
      <c r="K102" s="61" t="e">
        <f>-LARGE($E$2:$E$241,101)</f>
        <v>#NUM!</v>
      </c>
      <c r="L102" s="59" t="e">
        <f t="shared" si="9"/>
        <v>#NUM!</v>
      </c>
      <c r="M102" s="90" t="e">
        <f t="shared" si="8"/>
        <v>#NUM!</v>
      </c>
      <c r="N102" s="37">
        <v>101</v>
      </c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</row>
    <row r="103" spans="2:39" ht="17.25" thickTop="1" thickBot="1">
      <c r="B103">
        <f>wyniki!B125</f>
        <v>0</v>
      </c>
      <c r="C103" s="56">
        <f>wyniki!C125</f>
        <v>0</v>
      </c>
      <c r="D103" s="18">
        <v>-1.0200000000000001E-3</v>
      </c>
      <c r="E103" s="56" t="b">
        <f t="shared" si="5"/>
        <v>0</v>
      </c>
      <c r="F103">
        <f>wyniki!$A$119</f>
        <v>0</v>
      </c>
      <c r="G103" s="56">
        <f t="shared" si="6"/>
        <v>0</v>
      </c>
      <c r="J103" s="79" t="e">
        <f t="shared" si="7"/>
        <v>#NUM!</v>
      </c>
      <c r="K103" s="61" t="e">
        <f>-LARGE($E$2:$E$241,102)</f>
        <v>#NUM!</v>
      </c>
      <c r="L103" s="59" t="e">
        <f t="shared" si="9"/>
        <v>#NUM!</v>
      </c>
      <c r="M103" s="90" t="e">
        <f t="shared" si="8"/>
        <v>#NUM!</v>
      </c>
      <c r="N103" s="37">
        <v>102</v>
      </c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</row>
    <row r="104" spans="2:39" ht="17.25" thickTop="1" thickBot="1">
      <c r="B104">
        <f>wyniki!B127</f>
        <v>0</v>
      </c>
      <c r="C104" s="56">
        <f>wyniki!C127</f>
        <v>0</v>
      </c>
      <c r="D104" s="18">
        <v>-1.0300000000000001E-3</v>
      </c>
      <c r="E104" s="56" t="b">
        <f t="shared" si="5"/>
        <v>0</v>
      </c>
      <c r="F104">
        <f>wyniki!$A$126</f>
        <v>0</v>
      </c>
      <c r="G104" s="56">
        <f t="shared" si="6"/>
        <v>0</v>
      </c>
      <c r="J104" s="79" t="e">
        <f t="shared" si="7"/>
        <v>#NUM!</v>
      </c>
      <c r="K104" s="61" t="e">
        <f>-LARGE($E$2:$E$241,103)</f>
        <v>#NUM!</v>
      </c>
      <c r="L104" s="59" t="e">
        <f t="shared" si="9"/>
        <v>#NUM!</v>
      </c>
      <c r="M104" s="90" t="e">
        <f t="shared" si="8"/>
        <v>#NUM!</v>
      </c>
      <c r="N104" s="37">
        <v>103</v>
      </c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</row>
    <row r="105" spans="2:39" ht="17.25" thickTop="1" thickBot="1">
      <c r="B105">
        <f>wyniki!B128</f>
        <v>0</v>
      </c>
      <c r="C105" s="56">
        <f>wyniki!C128</f>
        <v>0</v>
      </c>
      <c r="D105" s="18">
        <v>-1.0399999999999999E-3</v>
      </c>
      <c r="E105" s="56" t="b">
        <f t="shared" si="5"/>
        <v>0</v>
      </c>
      <c r="F105">
        <f>wyniki!$A$126</f>
        <v>0</v>
      </c>
      <c r="G105" s="56">
        <f t="shared" si="6"/>
        <v>0</v>
      </c>
      <c r="J105" s="79" t="e">
        <f t="shared" si="7"/>
        <v>#NUM!</v>
      </c>
      <c r="K105" s="61" t="e">
        <f>-LARGE($E$2:$E$241,104)</f>
        <v>#NUM!</v>
      </c>
      <c r="L105" s="59" t="e">
        <f t="shared" si="9"/>
        <v>#NUM!</v>
      </c>
      <c r="M105" s="90" t="e">
        <f t="shared" si="8"/>
        <v>#NUM!</v>
      </c>
      <c r="N105" s="37">
        <v>104</v>
      </c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</row>
    <row r="106" spans="2:39" ht="17.25" thickTop="1" thickBot="1">
      <c r="B106">
        <f>wyniki!B129</f>
        <v>0</v>
      </c>
      <c r="C106" s="56">
        <f>wyniki!C129</f>
        <v>0</v>
      </c>
      <c r="D106" s="18">
        <v>-1.0499999999999999E-3</v>
      </c>
      <c r="E106" s="56" t="b">
        <f t="shared" si="5"/>
        <v>0</v>
      </c>
      <c r="F106">
        <f>wyniki!$A$126</f>
        <v>0</v>
      </c>
      <c r="G106" s="56">
        <f t="shared" si="6"/>
        <v>0</v>
      </c>
      <c r="J106" s="79" t="e">
        <f t="shared" si="7"/>
        <v>#NUM!</v>
      </c>
      <c r="K106" s="61" t="e">
        <f>-LARGE($E$2:$E$241,105)</f>
        <v>#NUM!</v>
      </c>
      <c r="L106" s="59" t="e">
        <f t="shared" si="9"/>
        <v>#NUM!</v>
      </c>
      <c r="M106" s="90" t="e">
        <f t="shared" si="8"/>
        <v>#NUM!</v>
      </c>
      <c r="N106" s="37">
        <v>105</v>
      </c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</row>
    <row r="107" spans="2:39" ht="17.25" thickTop="1" thickBot="1">
      <c r="B107">
        <f>wyniki!B130</f>
        <v>0</v>
      </c>
      <c r="C107" s="56">
        <f>wyniki!C130</f>
        <v>0</v>
      </c>
      <c r="D107" s="18">
        <v>-1.06E-3</v>
      </c>
      <c r="E107" s="56" t="b">
        <f t="shared" si="5"/>
        <v>0</v>
      </c>
      <c r="F107">
        <f>wyniki!$A$126</f>
        <v>0</v>
      </c>
      <c r="G107" s="56">
        <f t="shared" si="6"/>
        <v>0</v>
      </c>
      <c r="J107" s="79" t="e">
        <f t="shared" si="7"/>
        <v>#NUM!</v>
      </c>
      <c r="K107" s="61" t="e">
        <f>-LARGE($E$2:$E$241,106)</f>
        <v>#NUM!</v>
      </c>
      <c r="L107" s="59" t="e">
        <f t="shared" si="9"/>
        <v>#NUM!</v>
      </c>
      <c r="M107" s="90" t="e">
        <f t="shared" si="8"/>
        <v>#NUM!</v>
      </c>
      <c r="N107" s="37">
        <v>106</v>
      </c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</row>
    <row r="108" spans="2:39" ht="17.25" thickTop="1" thickBot="1">
      <c r="B108">
        <f>wyniki!B131</f>
        <v>0</v>
      </c>
      <c r="C108" s="56">
        <f>wyniki!C131</f>
        <v>0</v>
      </c>
      <c r="D108" s="18">
        <v>-1.07E-3</v>
      </c>
      <c r="E108" s="56" t="b">
        <f t="shared" si="5"/>
        <v>0</v>
      </c>
      <c r="F108">
        <f>wyniki!$A$126</f>
        <v>0</v>
      </c>
      <c r="G108" s="56">
        <f t="shared" si="6"/>
        <v>0</v>
      </c>
      <c r="J108" s="79" t="e">
        <f t="shared" si="7"/>
        <v>#NUM!</v>
      </c>
      <c r="K108" s="61" t="e">
        <f>-LARGE($E$2:$E$241,107)</f>
        <v>#NUM!</v>
      </c>
      <c r="L108" s="59" t="e">
        <f t="shared" si="9"/>
        <v>#NUM!</v>
      </c>
      <c r="M108" s="90" t="e">
        <f t="shared" si="8"/>
        <v>#NUM!</v>
      </c>
      <c r="N108" s="37">
        <v>107</v>
      </c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</row>
    <row r="109" spans="2:39" ht="17.25" thickTop="1" thickBot="1">
      <c r="B109">
        <f>wyniki!B132</f>
        <v>0</v>
      </c>
      <c r="C109" s="56">
        <f>wyniki!C132</f>
        <v>0</v>
      </c>
      <c r="D109" s="18">
        <v>-1.08E-3</v>
      </c>
      <c r="E109" s="56" t="b">
        <f t="shared" si="5"/>
        <v>0</v>
      </c>
      <c r="F109">
        <f>wyniki!$A$126</f>
        <v>0</v>
      </c>
      <c r="G109" s="56">
        <f t="shared" si="6"/>
        <v>0</v>
      </c>
      <c r="J109" s="79" t="e">
        <f t="shared" si="7"/>
        <v>#NUM!</v>
      </c>
      <c r="K109" s="61" t="e">
        <f>-LARGE($E$2:$E$241,108)</f>
        <v>#NUM!</v>
      </c>
      <c r="L109" s="59" t="e">
        <f t="shared" si="9"/>
        <v>#NUM!</v>
      </c>
      <c r="M109" s="90" t="e">
        <f t="shared" si="8"/>
        <v>#NUM!</v>
      </c>
      <c r="N109" s="37">
        <v>108</v>
      </c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</row>
    <row r="110" spans="2:39" ht="17.25" thickTop="1" thickBot="1">
      <c r="B110">
        <f>wyniki!B134</f>
        <v>0</v>
      </c>
      <c r="C110" s="56">
        <f>wyniki!C134</f>
        <v>0</v>
      </c>
      <c r="D110" s="18">
        <v>-1.09E-3</v>
      </c>
      <c r="E110" s="56" t="b">
        <f t="shared" si="5"/>
        <v>0</v>
      </c>
      <c r="F110">
        <f>wyniki!$A$133</f>
        <v>0</v>
      </c>
      <c r="G110" s="56">
        <f t="shared" si="6"/>
        <v>0</v>
      </c>
      <c r="J110" s="79" t="e">
        <f t="shared" si="7"/>
        <v>#NUM!</v>
      </c>
      <c r="K110" s="61" t="e">
        <f>-LARGE($E$2:$E$241,109)</f>
        <v>#NUM!</v>
      </c>
      <c r="L110" s="59" t="e">
        <f t="shared" si="9"/>
        <v>#NUM!</v>
      </c>
      <c r="M110" s="90" t="e">
        <f t="shared" si="8"/>
        <v>#NUM!</v>
      </c>
      <c r="N110" s="37">
        <v>109</v>
      </c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</row>
    <row r="111" spans="2:39" ht="17.25" thickTop="1" thickBot="1">
      <c r="B111">
        <f>wyniki!B135</f>
        <v>0</v>
      </c>
      <c r="C111" s="56">
        <f>wyniki!C135</f>
        <v>0</v>
      </c>
      <c r="D111" s="18">
        <v>-1.1000000000000001E-3</v>
      </c>
      <c r="E111" s="56" t="b">
        <f t="shared" si="5"/>
        <v>0</v>
      </c>
      <c r="F111">
        <f>wyniki!$A$133</f>
        <v>0</v>
      </c>
      <c r="G111" s="56">
        <f t="shared" si="6"/>
        <v>0</v>
      </c>
      <c r="J111" s="79" t="e">
        <f t="shared" si="7"/>
        <v>#NUM!</v>
      </c>
      <c r="K111" s="61" t="e">
        <f>-LARGE($E$2:$E$241,110)</f>
        <v>#NUM!</v>
      </c>
      <c r="L111" s="59" t="e">
        <f t="shared" si="9"/>
        <v>#NUM!</v>
      </c>
      <c r="M111" s="90" t="e">
        <f t="shared" si="8"/>
        <v>#NUM!</v>
      </c>
      <c r="N111" s="37">
        <v>110</v>
      </c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</row>
    <row r="112" spans="2:39" ht="17.25" thickTop="1" thickBot="1">
      <c r="B112">
        <f>wyniki!B136</f>
        <v>0</v>
      </c>
      <c r="C112" s="56">
        <f>wyniki!C136</f>
        <v>0</v>
      </c>
      <c r="D112" s="18">
        <v>-1.1100000000000001E-3</v>
      </c>
      <c r="E112" s="56" t="b">
        <f t="shared" si="5"/>
        <v>0</v>
      </c>
      <c r="F112">
        <f>wyniki!$A$133</f>
        <v>0</v>
      </c>
      <c r="G112" s="56">
        <f t="shared" si="6"/>
        <v>0</v>
      </c>
      <c r="J112" s="79" t="e">
        <f t="shared" si="7"/>
        <v>#NUM!</v>
      </c>
      <c r="K112" s="61" t="e">
        <f>-LARGE($E$2:$E$241,111)</f>
        <v>#NUM!</v>
      </c>
      <c r="L112" s="59" t="e">
        <f t="shared" si="9"/>
        <v>#NUM!</v>
      </c>
      <c r="M112" s="90" t="e">
        <f t="shared" si="8"/>
        <v>#NUM!</v>
      </c>
      <c r="N112" s="37">
        <v>111</v>
      </c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</row>
    <row r="113" spans="2:39" ht="17.25" thickTop="1" thickBot="1">
      <c r="B113">
        <f>wyniki!B137</f>
        <v>0</v>
      </c>
      <c r="C113" s="56">
        <f>wyniki!C137</f>
        <v>0</v>
      </c>
      <c r="D113" s="18">
        <v>-1.1199999999999999E-3</v>
      </c>
      <c r="E113" s="56" t="b">
        <f t="shared" si="5"/>
        <v>0</v>
      </c>
      <c r="F113">
        <f>wyniki!$A$133</f>
        <v>0</v>
      </c>
      <c r="G113" s="56">
        <f t="shared" si="6"/>
        <v>0</v>
      </c>
      <c r="J113" s="79" t="e">
        <f t="shared" si="7"/>
        <v>#NUM!</v>
      </c>
      <c r="K113" s="61" t="e">
        <f>-LARGE($E$2:$E$241,112)</f>
        <v>#NUM!</v>
      </c>
      <c r="L113" s="59" t="e">
        <f t="shared" si="9"/>
        <v>#NUM!</v>
      </c>
      <c r="M113" s="90" t="e">
        <f t="shared" si="8"/>
        <v>#NUM!</v>
      </c>
      <c r="N113" s="37">
        <v>112</v>
      </c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</row>
    <row r="114" spans="2:39" ht="17.25" thickTop="1" thickBot="1">
      <c r="B114">
        <f>wyniki!B138</f>
        <v>0</v>
      </c>
      <c r="C114" s="56">
        <f>wyniki!C138</f>
        <v>0</v>
      </c>
      <c r="D114" s="18">
        <v>-1.1299999999999999E-3</v>
      </c>
      <c r="E114" s="56" t="b">
        <f t="shared" si="5"/>
        <v>0</v>
      </c>
      <c r="F114">
        <f>wyniki!$A$133</f>
        <v>0</v>
      </c>
      <c r="G114" s="56">
        <f t="shared" si="6"/>
        <v>0</v>
      </c>
      <c r="J114" s="79" t="e">
        <f t="shared" si="7"/>
        <v>#NUM!</v>
      </c>
      <c r="K114" s="61" t="e">
        <f>-LARGE($E$2:$E$241,113)</f>
        <v>#NUM!</v>
      </c>
      <c r="L114" s="59" t="e">
        <f t="shared" si="9"/>
        <v>#NUM!</v>
      </c>
      <c r="M114" s="90" t="e">
        <f t="shared" si="8"/>
        <v>#NUM!</v>
      </c>
      <c r="N114" s="37">
        <v>113</v>
      </c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</row>
    <row r="115" spans="2:39" ht="17.25" thickTop="1" thickBot="1">
      <c r="B115">
        <f>wyniki!B139</f>
        <v>0</v>
      </c>
      <c r="C115" s="56">
        <f>wyniki!C139</f>
        <v>0</v>
      </c>
      <c r="D115" s="18">
        <v>-1.14E-3</v>
      </c>
      <c r="E115" s="56" t="b">
        <f t="shared" si="5"/>
        <v>0</v>
      </c>
      <c r="F115">
        <f>wyniki!$A$133</f>
        <v>0</v>
      </c>
      <c r="G115" s="56">
        <f t="shared" si="6"/>
        <v>0</v>
      </c>
      <c r="J115" s="79" t="e">
        <f t="shared" si="7"/>
        <v>#NUM!</v>
      </c>
      <c r="K115" s="61" t="e">
        <f>-LARGE($E$2:$E$241,114)</f>
        <v>#NUM!</v>
      </c>
      <c r="L115" s="59" t="e">
        <f t="shared" si="9"/>
        <v>#NUM!</v>
      </c>
      <c r="M115" s="90" t="e">
        <f t="shared" si="8"/>
        <v>#NUM!</v>
      </c>
      <c r="N115" s="37">
        <v>114</v>
      </c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</row>
    <row r="116" spans="2:39" ht="17.25" thickTop="1" thickBot="1">
      <c r="B116">
        <f>wyniki!B141</f>
        <v>0</v>
      </c>
      <c r="C116" s="56">
        <f>wyniki!C141</f>
        <v>0</v>
      </c>
      <c r="D116" s="18">
        <v>-1.15E-3</v>
      </c>
      <c r="E116" s="56" t="b">
        <f t="shared" si="5"/>
        <v>0</v>
      </c>
      <c r="F116">
        <f>wyniki!$A$140</f>
        <v>0</v>
      </c>
      <c r="G116" s="56">
        <f t="shared" si="6"/>
        <v>0</v>
      </c>
      <c r="J116" s="79" t="e">
        <f t="shared" si="7"/>
        <v>#NUM!</v>
      </c>
      <c r="K116" s="61" t="e">
        <f>-LARGE($E$2:$E$241,115)</f>
        <v>#NUM!</v>
      </c>
      <c r="L116" s="59" t="e">
        <f t="shared" si="9"/>
        <v>#NUM!</v>
      </c>
      <c r="M116" s="90" t="e">
        <f t="shared" si="8"/>
        <v>#NUM!</v>
      </c>
      <c r="N116" s="37">
        <v>115</v>
      </c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</row>
    <row r="117" spans="2:39" ht="17.25" thickTop="1" thickBot="1">
      <c r="B117">
        <f>wyniki!B142</f>
        <v>0</v>
      </c>
      <c r="C117" s="56">
        <f>wyniki!C142</f>
        <v>0</v>
      </c>
      <c r="D117" s="18">
        <v>-1.16E-3</v>
      </c>
      <c r="E117" s="56" t="b">
        <f t="shared" si="5"/>
        <v>0</v>
      </c>
      <c r="F117">
        <f>wyniki!$A$140</f>
        <v>0</v>
      </c>
      <c r="G117" s="56">
        <f t="shared" si="6"/>
        <v>0</v>
      </c>
      <c r="J117" s="79" t="e">
        <f t="shared" si="7"/>
        <v>#NUM!</v>
      </c>
      <c r="K117" s="61" t="e">
        <f>-LARGE($E$2:$E$241,116)</f>
        <v>#NUM!</v>
      </c>
      <c r="L117" s="59" t="e">
        <f t="shared" si="9"/>
        <v>#NUM!</v>
      </c>
      <c r="M117" s="90" t="e">
        <f t="shared" si="8"/>
        <v>#NUM!</v>
      </c>
      <c r="N117" s="37">
        <v>116</v>
      </c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</row>
    <row r="118" spans="2:39" ht="17.25" thickTop="1" thickBot="1">
      <c r="B118">
        <f>wyniki!B143</f>
        <v>0</v>
      </c>
      <c r="C118" s="56">
        <f>wyniki!C143</f>
        <v>0</v>
      </c>
      <c r="D118" s="18">
        <v>-1.17E-3</v>
      </c>
      <c r="E118" s="56" t="b">
        <f t="shared" si="5"/>
        <v>0</v>
      </c>
      <c r="F118">
        <f>wyniki!$A$140</f>
        <v>0</v>
      </c>
      <c r="G118" s="56">
        <f t="shared" si="6"/>
        <v>0</v>
      </c>
      <c r="J118" s="79" t="e">
        <f t="shared" si="7"/>
        <v>#NUM!</v>
      </c>
      <c r="K118" s="61" t="e">
        <f>-LARGE($E$2:$E$241,117)</f>
        <v>#NUM!</v>
      </c>
      <c r="L118" s="59" t="e">
        <f t="shared" si="9"/>
        <v>#NUM!</v>
      </c>
      <c r="M118" s="90" t="e">
        <f t="shared" si="8"/>
        <v>#NUM!</v>
      </c>
      <c r="N118" s="37">
        <v>117</v>
      </c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</row>
    <row r="119" spans="2:39" ht="17.25" thickTop="1" thickBot="1">
      <c r="B119">
        <f>wyniki!B144</f>
        <v>0</v>
      </c>
      <c r="C119" s="56">
        <f>wyniki!C144</f>
        <v>0</v>
      </c>
      <c r="D119" s="18">
        <v>-1.1800000000000001E-3</v>
      </c>
      <c r="E119" s="56" t="b">
        <f t="shared" si="5"/>
        <v>0</v>
      </c>
      <c r="F119">
        <f>wyniki!$A$140</f>
        <v>0</v>
      </c>
      <c r="G119" s="56">
        <f t="shared" si="6"/>
        <v>0</v>
      </c>
      <c r="J119" s="79" t="e">
        <f t="shared" si="7"/>
        <v>#NUM!</v>
      </c>
      <c r="K119" s="61" t="e">
        <f>-LARGE($E$2:$E$241,118)</f>
        <v>#NUM!</v>
      </c>
      <c r="L119" s="59" t="e">
        <f t="shared" si="9"/>
        <v>#NUM!</v>
      </c>
      <c r="M119" s="90" t="e">
        <f t="shared" si="8"/>
        <v>#NUM!</v>
      </c>
      <c r="N119" s="37">
        <v>118</v>
      </c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</row>
    <row r="120" spans="2:39" ht="17.25" thickTop="1" thickBot="1">
      <c r="B120">
        <f>wyniki!B145</f>
        <v>0</v>
      </c>
      <c r="C120" s="56">
        <f>wyniki!C145</f>
        <v>0</v>
      </c>
      <c r="D120" s="18">
        <v>-1.1900000000000001E-3</v>
      </c>
      <c r="E120" s="56" t="b">
        <f t="shared" si="5"/>
        <v>0</v>
      </c>
      <c r="F120">
        <f>wyniki!$A$140</f>
        <v>0</v>
      </c>
      <c r="G120" s="56">
        <f t="shared" si="6"/>
        <v>0</v>
      </c>
      <c r="J120" s="79" t="e">
        <f t="shared" si="7"/>
        <v>#NUM!</v>
      </c>
      <c r="K120" s="61" t="e">
        <f>-LARGE($E$2:$E$241,119)</f>
        <v>#NUM!</v>
      </c>
      <c r="L120" s="59" t="e">
        <f t="shared" si="9"/>
        <v>#NUM!</v>
      </c>
      <c r="M120" s="90" t="e">
        <f t="shared" si="8"/>
        <v>#NUM!</v>
      </c>
      <c r="N120" s="37">
        <v>119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</row>
    <row r="121" spans="2:39" ht="17.25" thickTop="1" thickBot="1">
      <c r="B121">
        <f>wyniki!B146</f>
        <v>0</v>
      </c>
      <c r="C121" s="56">
        <f>wyniki!C146</f>
        <v>0</v>
      </c>
      <c r="D121" s="18">
        <v>-1.1999999999999999E-3</v>
      </c>
      <c r="E121" s="56" t="b">
        <f t="shared" si="5"/>
        <v>0</v>
      </c>
      <c r="F121">
        <f>wyniki!$A$140</f>
        <v>0</v>
      </c>
      <c r="G121" s="56">
        <f t="shared" si="6"/>
        <v>0</v>
      </c>
      <c r="J121" s="79" t="e">
        <f t="shared" si="7"/>
        <v>#NUM!</v>
      </c>
      <c r="K121" s="61" t="e">
        <f>-LARGE($E$2:$E$241,120)</f>
        <v>#NUM!</v>
      </c>
      <c r="L121" s="59" t="e">
        <f t="shared" si="9"/>
        <v>#NUM!</v>
      </c>
      <c r="M121" s="90" t="e">
        <f t="shared" si="8"/>
        <v>#NUM!</v>
      </c>
      <c r="N121" s="37">
        <v>120</v>
      </c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</row>
    <row r="122" spans="2:39" ht="17.25" thickTop="1" thickBot="1">
      <c r="B122">
        <f>wyniki!B148</f>
        <v>0</v>
      </c>
      <c r="C122" s="56">
        <f>wyniki!C148</f>
        <v>0</v>
      </c>
      <c r="D122" s="18">
        <v>-1.2099999999999999E-3</v>
      </c>
      <c r="E122" s="56" t="b">
        <f t="shared" si="5"/>
        <v>0</v>
      </c>
      <c r="F122">
        <f>wyniki!$A$147</f>
        <v>0</v>
      </c>
      <c r="G122" s="56">
        <f t="shared" si="6"/>
        <v>0</v>
      </c>
      <c r="J122" s="79" t="e">
        <f t="shared" si="7"/>
        <v>#NUM!</v>
      </c>
      <c r="K122" s="61" t="e">
        <f>-LARGE($E$2:$E$241,121)</f>
        <v>#NUM!</v>
      </c>
      <c r="L122" s="59" t="e">
        <f t="shared" si="9"/>
        <v>#NUM!</v>
      </c>
      <c r="M122" s="90" t="e">
        <f t="shared" si="8"/>
        <v>#NUM!</v>
      </c>
      <c r="N122" s="37">
        <v>121</v>
      </c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</row>
    <row r="123" spans="2:39" ht="17.25" thickTop="1" thickBot="1">
      <c r="B123">
        <f>wyniki!B149</f>
        <v>0</v>
      </c>
      <c r="C123" s="56">
        <f>wyniki!C149</f>
        <v>0</v>
      </c>
      <c r="D123" s="18">
        <v>-1.2199999999999999E-3</v>
      </c>
      <c r="E123" s="56" t="b">
        <f t="shared" si="5"/>
        <v>0</v>
      </c>
      <c r="F123">
        <f>wyniki!$A$147</f>
        <v>0</v>
      </c>
      <c r="G123" s="56">
        <f t="shared" si="6"/>
        <v>0</v>
      </c>
      <c r="J123" s="79" t="e">
        <f t="shared" si="7"/>
        <v>#NUM!</v>
      </c>
      <c r="K123" s="61" t="e">
        <f>-LARGE($E$2:$E$241,122)</f>
        <v>#NUM!</v>
      </c>
      <c r="L123" s="59" t="e">
        <f t="shared" si="9"/>
        <v>#NUM!</v>
      </c>
      <c r="M123" s="90" t="e">
        <f t="shared" si="8"/>
        <v>#NUM!</v>
      </c>
      <c r="N123" s="37">
        <v>122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</row>
    <row r="124" spans="2:39" ht="17.25" thickTop="1" thickBot="1">
      <c r="B124">
        <f>wyniki!B150</f>
        <v>0</v>
      </c>
      <c r="C124" s="56">
        <f>wyniki!C150</f>
        <v>0</v>
      </c>
      <c r="D124" s="18">
        <v>-1.23E-3</v>
      </c>
      <c r="E124" s="56" t="b">
        <f t="shared" si="5"/>
        <v>0</v>
      </c>
      <c r="F124">
        <f>wyniki!$A$147</f>
        <v>0</v>
      </c>
      <c r="G124" s="56">
        <f t="shared" si="6"/>
        <v>0</v>
      </c>
      <c r="J124" s="79" t="e">
        <f t="shared" si="7"/>
        <v>#NUM!</v>
      </c>
      <c r="K124" s="61" t="e">
        <f>-LARGE($E$2:$E$241,123)</f>
        <v>#NUM!</v>
      </c>
      <c r="L124" s="59" t="e">
        <f t="shared" si="9"/>
        <v>#NUM!</v>
      </c>
      <c r="M124" s="90" t="e">
        <f t="shared" si="8"/>
        <v>#NUM!</v>
      </c>
      <c r="N124" s="37">
        <v>123</v>
      </c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</row>
    <row r="125" spans="2:39" ht="17.25" thickTop="1" thickBot="1">
      <c r="B125">
        <f>wyniki!B151</f>
        <v>0</v>
      </c>
      <c r="C125" s="56">
        <f>wyniki!C151</f>
        <v>0</v>
      </c>
      <c r="D125" s="18">
        <v>-1.24E-3</v>
      </c>
      <c r="E125" s="56" t="b">
        <f t="shared" si="5"/>
        <v>0</v>
      </c>
      <c r="F125">
        <f>wyniki!$A$147</f>
        <v>0</v>
      </c>
      <c r="G125" s="56">
        <f t="shared" si="6"/>
        <v>0</v>
      </c>
      <c r="J125" s="79" t="e">
        <f t="shared" si="7"/>
        <v>#NUM!</v>
      </c>
      <c r="K125" s="61" t="e">
        <f>-LARGE($E$2:$E$241,124)</f>
        <v>#NUM!</v>
      </c>
      <c r="L125" s="59" t="e">
        <f t="shared" si="9"/>
        <v>#NUM!</v>
      </c>
      <c r="M125" s="90" t="e">
        <f t="shared" si="8"/>
        <v>#NUM!</v>
      </c>
      <c r="N125" s="37">
        <v>124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</row>
    <row r="126" spans="2:39" ht="17.25" thickTop="1" thickBot="1">
      <c r="B126">
        <f>wyniki!B152</f>
        <v>0</v>
      </c>
      <c r="C126" s="56">
        <f>wyniki!C152</f>
        <v>0</v>
      </c>
      <c r="D126" s="18">
        <v>-1.25E-3</v>
      </c>
      <c r="E126" s="56" t="b">
        <f t="shared" si="5"/>
        <v>0</v>
      </c>
      <c r="F126">
        <f>wyniki!$A$147</f>
        <v>0</v>
      </c>
      <c r="G126" s="56">
        <f t="shared" si="6"/>
        <v>0</v>
      </c>
      <c r="J126" s="79" t="e">
        <f t="shared" si="7"/>
        <v>#NUM!</v>
      </c>
      <c r="K126" s="61" t="e">
        <f>-LARGE($E$2:$E$241,125)</f>
        <v>#NUM!</v>
      </c>
      <c r="L126" s="59" t="e">
        <f t="shared" si="9"/>
        <v>#NUM!</v>
      </c>
      <c r="M126" s="90" t="e">
        <f t="shared" si="8"/>
        <v>#NUM!</v>
      </c>
      <c r="N126" s="37">
        <v>125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</row>
    <row r="127" spans="2:39" ht="17.25" thickTop="1" thickBot="1">
      <c r="B127">
        <f>wyniki!B153</f>
        <v>0</v>
      </c>
      <c r="C127" s="56">
        <f>wyniki!C153</f>
        <v>0</v>
      </c>
      <c r="D127" s="18">
        <v>-1.2600000000000001E-3</v>
      </c>
      <c r="E127" s="56" t="b">
        <f t="shared" si="5"/>
        <v>0</v>
      </c>
      <c r="F127">
        <f>wyniki!$A$147</f>
        <v>0</v>
      </c>
      <c r="G127" s="56">
        <f t="shared" si="6"/>
        <v>0</v>
      </c>
      <c r="J127" s="79" t="e">
        <f t="shared" si="7"/>
        <v>#NUM!</v>
      </c>
      <c r="K127" s="61" t="e">
        <f>-LARGE($E$2:$E$241,126)</f>
        <v>#NUM!</v>
      </c>
      <c r="L127" s="59" t="e">
        <f t="shared" si="9"/>
        <v>#NUM!</v>
      </c>
      <c r="M127" s="90" t="e">
        <f t="shared" si="8"/>
        <v>#NUM!</v>
      </c>
      <c r="N127" s="37">
        <v>126</v>
      </c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</row>
    <row r="128" spans="2:39" ht="17.25" thickTop="1" thickBot="1">
      <c r="B128">
        <f>wyniki!B155</f>
        <v>0</v>
      </c>
      <c r="C128" s="56">
        <f>wyniki!C155</f>
        <v>0</v>
      </c>
      <c r="D128" s="18">
        <v>-1.2700000000000001E-3</v>
      </c>
      <c r="E128" s="56" t="b">
        <f t="shared" si="5"/>
        <v>0</v>
      </c>
      <c r="F128">
        <f>wyniki!$A$154</f>
        <v>0</v>
      </c>
      <c r="G128" s="56">
        <f t="shared" si="6"/>
        <v>0</v>
      </c>
      <c r="J128" s="79" t="e">
        <f t="shared" si="7"/>
        <v>#NUM!</v>
      </c>
      <c r="K128" s="61" t="e">
        <f>-LARGE($E$2:$E$241,127)</f>
        <v>#NUM!</v>
      </c>
      <c r="L128" s="59" t="e">
        <f t="shared" si="9"/>
        <v>#NUM!</v>
      </c>
      <c r="M128" s="90" t="e">
        <f t="shared" si="8"/>
        <v>#NUM!</v>
      </c>
      <c r="N128" s="37">
        <v>127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</row>
    <row r="129" spans="2:39" ht="17.25" thickTop="1" thickBot="1">
      <c r="B129">
        <f>wyniki!B156</f>
        <v>0</v>
      </c>
      <c r="C129" s="56">
        <f>wyniki!C156</f>
        <v>0</v>
      </c>
      <c r="D129" s="18">
        <v>-1.2800000000000001E-3</v>
      </c>
      <c r="E129" s="56" t="b">
        <f t="shared" si="5"/>
        <v>0</v>
      </c>
      <c r="F129">
        <f>wyniki!$A$154</f>
        <v>0</v>
      </c>
      <c r="G129" s="56">
        <f t="shared" si="6"/>
        <v>0</v>
      </c>
      <c r="J129" s="79" t="e">
        <f t="shared" si="7"/>
        <v>#NUM!</v>
      </c>
      <c r="K129" s="61" t="e">
        <f>-LARGE($E$2:$E$241,128)</f>
        <v>#NUM!</v>
      </c>
      <c r="L129" s="59" t="e">
        <f t="shared" si="9"/>
        <v>#NUM!</v>
      </c>
      <c r="M129" s="90" t="e">
        <f t="shared" si="8"/>
        <v>#NUM!</v>
      </c>
      <c r="N129" s="37">
        <v>128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</row>
    <row r="130" spans="2:39" ht="17.25" thickTop="1" thickBot="1">
      <c r="B130">
        <f>wyniki!B157</f>
        <v>0</v>
      </c>
      <c r="C130" s="56">
        <f>wyniki!C157</f>
        <v>0</v>
      </c>
      <c r="D130" s="18">
        <v>-1.2899999999999999E-3</v>
      </c>
      <c r="E130" s="56" t="b">
        <f t="shared" si="5"/>
        <v>0</v>
      </c>
      <c r="F130">
        <f>wyniki!$A$154</f>
        <v>0</v>
      </c>
      <c r="G130" s="56">
        <f t="shared" si="6"/>
        <v>0</v>
      </c>
      <c r="J130" s="79" t="e">
        <f t="shared" si="7"/>
        <v>#NUM!</v>
      </c>
      <c r="K130" s="61" t="e">
        <f>-LARGE($E$2:$E$241,129)</f>
        <v>#NUM!</v>
      </c>
      <c r="L130" s="59" t="e">
        <f t="shared" si="9"/>
        <v>#NUM!</v>
      </c>
      <c r="M130" s="90" t="e">
        <f t="shared" si="8"/>
        <v>#NUM!</v>
      </c>
      <c r="N130" s="37">
        <v>129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</row>
    <row r="131" spans="2:39" ht="17.25" thickTop="1" thickBot="1">
      <c r="B131">
        <f>wyniki!B158</f>
        <v>0</v>
      </c>
      <c r="C131" s="56">
        <f>wyniki!C158</f>
        <v>0</v>
      </c>
      <c r="D131" s="18">
        <v>-1.2999999999999999E-3</v>
      </c>
      <c r="E131" s="56" t="b">
        <f t="shared" ref="E131:E194" si="10">IF(C131&gt;1,G131+D131)</f>
        <v>0</v>
      </c>
      <c r="F131">
        <f>wyniki!$A$154</f>
        <v>0</v>
      </c>
      <c r="G131" s="56">
        <f t="shared" ref="G131:G194" si="11">-C131</f>
        <v>0</v>
      </c>
      <c r="J131" s="79" t="e">
        <f t="shared" ref="J131:J194" si="12">INDEX($B$2:$E$241,L131,1)</f>
        <v>#NUM!</v>
      </c>
      <c r="K131" s="61" t="e">
        <f>-LARGE($E$2:$E$241,130)</f>
        <v>#NUM!</v>
      </c>
      <c r="L131" s="59" t="e">
        <f t="shared" si="9"/>
        <v>#NUM!</v>
      </c>
      <c r="M131" s="90" t="e">
        <f t="shared" ref="M131:M194" si="13">INDEX($E$2:$F$241,L131,2)</f>
        <v>#NUM!</v>
      </c>
      <c r="N131" s="37">
        <v>130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</row>
    <row r="132" spans="2:39" ht="17.25" thickTop="1" thickBot="1">
      <c r="B132">
        <f>wyniki!B159</f>
        <v>0</v>
      </c>
      <c r="C132" s="56">
        <f>wyniki!C159</f>
        <v>0</v>
      </c>
      <c r="D132" s="18">
        <v>-1.31E-3</v>
      </c>
      <c r="E132" s="56" t="b">
        <f t="shared" si="10"/>
        <v>0</v>
      </c>
      <c r="F132">
        <f>wyniki!$A$154</f>
        <v>0</v>
      </c>
      <c r="G132" s="56">
        <f t="shared" si="11"/>
        <v>0</v>
      </c>
      <c r="J132" s="79" t="e">
        <f t="shared" si="12"/>
        <v>#NUM!</v>
      </c>
      <c r="K132" s="61" t="e">
        <f>-LARGE($E$2:$E$241,131)</f>
        <v>#NUM!</v>
      </c>
      <c r="L132" s="59" t="e">
        <f t="shared" ref="L132:L195" si="14">MATCH(-K132,$E$2:$E$241,0)</f>
        <v>#NUM!</v>
      </c>
      <c r="M132" s="90" t="e">
        <f t="shared" si="13"/>
        <v>#NUM!</v>
      </c>
      <c r="N132" s="37">
        <v>131</v>
      </c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</row>
    <row r="133" spans="2:39" ht="17.25" thickTop="1" thickBot="1">
      <c r="B133">
        <f>wyniki!B160</f>
        <v>0</v>
      </c>
      <c r="C133" s="56">
        <f>wyniki!C160</f>
        <v>0</v>
      </c>
      <c r="D133" s="18">
        <v>-1.32E-3</v>
      </c>
      <c r="E133" s="56" t="b">
        <f t="shared" si="10"/>
        <v>0</v>
      </c>
      <c r="F133">
        <f>wyniki!$A$154</f>
        <v>0</v>
      </c>
      <c r="G133" s="56">
        <f t="shared" si="11"/>
        <v>0</v>
      </c>
      <c r="J133" s="79" t="e">
        <f t="shared" si="12"/>
        <v>#NUM!</v>
      </c>
      <c r="K133" s="61" t="e">
        <f>-LARGE($E$2:$E$241,132)</f>
        <v>#NUM!</v>
      </c>
      <c r="L133" s="59" t="e">
        <f t="shared" si="14"/>
        <v>#NUM!</v>
      </c>
      <c r="M133" s="90" t="e">
        <f t="shared" si="13"/>
        <v>#NUM!</v>
      </c>
      <c r="N133" s="37">
        <v>132</v>
      </c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</row>
    <row r="134" spans="2:39" ht="17.25" thickTop="1" thickBot="1">
      <c r="B134">
        <f>wyniki!B162</f>
        <v>0</v>
      </c>
      <c r="C134" s="56">
        <f>wyniki!C162</f>
        <v>0</v>
      </c>
      <c r="D134" s="18">
        <v>-1.33E-3</v>
      </c>
      <c r="E134" s="56" t="b">
        <f t="shared" si="10"/>
        <v>0</v>
      </c>
      <c r="F134">
        <f>wyniki!$A$161</f>
        <v>0</v>
      </c>
      <c r="G134" s="56">
        <f t="shared" si="11"/>
        <v>0</v>
      </c>
      <c r="J134" s="79" t="e">
        <f t="shared" si="12"/>
        <v>#NUM!</v>
      </c>
      <c r="K134" s="61" t="e">
        <f>-LARGE($E$2:$E$241,133)</f>
        <v>#NUM!</v>
      </c>
      <c r="L134" s="59" t="e">
        <f t="shared" si="14"/>
        <v>#NUM!</v>
      </c>
      <c r="M134" s="90" t="e">
        <f t="shared" si="13"/>
        <v>#NUM!</v>
      </c>
      <c r="N134" s="37">
        <v>133</v>
      </c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</row>
    <row r="135" spans="2:39" ht="17.25" thickTop="1" thickBot="1">
      <c r="B135">
        <f>wyniki!B163</f>
        <v>0</v>
      </c>
      <c r="C135" s="56">
        <f>wyniki!C163</f>
        <v>0</v>
      </c>
      <c r="D135" s="18">
        <v>-1.34E-3</v>
      </c>
      <c r="E135" s="56" t="b">
        <f t="shared" si="10"/>
        <v>0</v>
      </c>
      <c r="F135">
        <f>wyniki!$A$161</f>
        <v>0</v>
      </c>
      <c r="G135" s="56">
        <f t="shared" si="11"/>
        <v>0</v>
      </c>
      <c r="J135" s="79" t="e">
        <f t="shared" si="12"/>
        <v>#NUM!</v>
      </c>
      <c r="K135" s="61" t="e">
        <f>-LARGE($E$2:$E$241,134)</f>
        <v>#NUM!</v>
      </c>
      <c r="L135" s="59" t="e">
        <f t="shared" si="14"/>
        <v>#NUM!</v>
      </c>
      <c r="M135" s="90" t="e">
        <f t="shared" si="13"/>
        <v>#NUM!</v>
      </c>
      <c r="N135" s="37">
        <v>134</v>
      </c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</row>
    <row r="136" spans="2:39" ht="17.25" thickTop="1" thickBot="1">
      <c r="B136">
        <f>wyniki!B164</f>
        <v>0</v>
      </c>
      <c r="C136" s="56">
        <f>wyniki!C164</f>
        <v>0</v>
      </c>
      <c r="D136" s="18">
        <v>-1.3500000000000001E-3</v>
      </c>
      <c r="E136" s="56" t="b">
        <f t="shared" si="10"/>
        <v>0</v>
      </c>
      <c r="F136">
        <f>wyniki!$A$161</f>
        <v>0</v>
      </c>
      <c r="G136" s="56">
        <f t="shared" si="11"/>
        <v>0</v>
      </c>
      <c r="J136" s="79" t="e">
        <f t="shared" si="12"/>
        <v>#NUM!</v>
      </c>
      <c r="K136" s="61" t="e">
        <f>-LARGE($E$2:$E$241,135)</f>
        <v>#NUM!</v>
      </c>
      <c r="L136" s="59" t="e">
        <f t="shared" si="14"/>
        <v>#NUM!</v>
      </c>
      <c r="M136" s="90" t="e">
        <f t="shared" si="13"/>
        <v>#NUM!</v>
      </c>
      <c r="N136" s="37">
        <v>135</v>
      </c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</row>
    <row r="137" spans="2:39" ht="17.25" thickTop="1" thickBot="1">
      <c r="B137">
        <f>wyniki!B165</f>
        <v>0</v>
      </c>
      <c r="C137" s="56">
        <f>wyniki!C165</f>
        <v>0</v>
      </c>
      <c r="D137" s="18">
        <v>-1.3600000000000001E-3</v>
      </c>
      <c r="E137" s="56" t="b">
        <f t="shared" si="10"/>
        <v>0</v>
      </c>
      <c r="F137">
        <f>wyniki!$A$161</f>
        <v>0</v>
      </c>
      <c r="G137" s="56">
        <f t="shared" si="11"/>
        <v>0</v>
      </c>
      <c r="J137" s="79" t="e">
        <f t="shared" si="12"/>
        <v>#NUM!</v>
      </c>
      <c r="K137" s="61" t="e">
        <f>-LARGE($E$2:$E$241,136)</f>
        <v>#NUM!</v>
      </c>
      <c r="L137" s="59" t="e">
        <f t="shared" si="14"/>
        <v>#NUM!</v>
      </c>
      <c r="M137" s="90" t="e">
        <f t="shared" si="13"/>
        <v>#NUM!</v>
      </c>
      <c r="N137" s="37">
        <v>136</v>
      </c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</row>
    <row r="138" spans="2:39" ht="17.25" thickTop="1" thickBot="1">
      <c r="B138">
        <f>wyniki!B166</f>
        <v>0</v>
      </c>
      <c r="C138" s="56">
        <f>wyniki!C166</f>
        <v>0</v>
      </c>
      <c r="D138" s="18">
        <v>-1.3699999999999999E-3</v>
      </c>
      <c r="E138" s="56" t="b">
        <f t="shared" si="10"/>
        <v>0</v>
      </c>
      <c r="F138">
        <f>wyniki!$A$161</f>
        <v>0</v>
      </c>
      <c r="G138" s="56">
        <f t="shared" si="11"/>
        <v>0</v>
      </c>
      <c r="J138" s="79" t="e">
        <f t="shared" si="12"/>
        <v>#NUM!</v>
      </c>
      <c r="K138" s="61" t="e">
        <f>-LARGE($E$2:$E$241,137)</f>
        <v>#NUM!</v>
      </c>
      <c r="L138" s="59" t="e">
        <f t="shared" si="14"/>
        <v>#NUM!</v>
      </c>
      <c r="M138" s="90" t="e">
        <f t="shared" si="13"/>
        <v>#NUM!</v>
      </c>
      <c r="N138" s="37">
        <v>137</v>
      </c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2:39" ht="17.25" thickTop="1" thickBot="1">
      <c r="B139">
        <f>wyniki!B167</f>
        <v>0</v>
      </c>
      <c r="C139" s="56">
        <f>wyniki!C167</f>
        <v>0</v>
      </c>
      <c r="D139" s="18">
        <v>-1.3799999999999999E-3</v>
      </c>
      <c r="E139" s="56" t="b">
        <f t="shared" si="10"/>
        <v>0</v>
      </c>
      <c r="F139">
        <f>wyniki!$A$161</f>
        <v>0</v>
      </c>
      <c r="G139" s="56">
        <f t="shared" si="11"/>
        <v>0</v>
      </c>
      <c r="J139" s="79" t="e">
        <f t="shared" si="12"/>
        <v>#NUM!</v>
      </c>
      <c r="K139" s="61" t="e">
        <f>-LARGE($E$2:$E$241,138)</f>
        <v>#NUM!</v>
      </c>
      <c r="L139" s="59" t="e">
        <f t="shared" si="14"/>
        <v>#NUM!</v>
      </c>
      <c r="M139" s="90" t="e">
        <f t="shared" si="13"/>
        <v>#NUM!</v>
      </c>
      <c r="N139" s="37">
        <v>138</v>
      </c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</row>
    <row r="140" spans="2:39" ht="17.25" thickTop="1" thickBot="1">
      <c r="B140">
        <f>wyniki!B169</f>
        <v>0</v>
      </c>
      <c r="C140" s="56">
        <f>wyniki!C169</f>
        <v>0</v>
      </c>
      <c r="D140" s="18">
        <v>-1.39E-3</v>
      </c>
      <c r="E140" s="56" t="b">
        <f t="shared" si="10"/>
        <v>0</v>
      </c>
      <c r="F140">
        <f>wyniki!$A$168</f>
        <v>0</v>
      </c>
      <c r="G140" s="56">
        <f t="shared" si="11"/>
        <v>0</v>
      </c>
      <c r="J140" s="79" t="e">
        <f t="shared" si="12"/>
        <v>#NUM!</v>
      </c>
      <c r="K140" s="61" t="e">
        <f>-LARGE($E$2:$E$241,139)</f>
        <v>#NUM!</v>
      </c>
      <c r="L140" s="59" t="e">
        <f t="shared" si="14"/>
        <v>#NUM!</v>
      </c>
      <c r="M140" s="90" t="e">
        <f t="shared" si="13"/>
        <v>#NUM!</v>
      </c>
      <c r="N140" s="37">
        <v>139</v>
      </c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</row>
    <row r="141" spans="2:39" ht="17.25" thickTop="1" thickBot="1">
      <c r="B141">
        <f>wyniki!B170</f>
        <v>0</v>
      </c>
      <c r="C141" s="56">
        <f>wyniki!C170</f>
        <v>0</v>
      </c>
      <c r="D141" s="18">
        <v>-1.4E-3</v>
      </c>
      <c r="E141" s="56" t="b">
        <f t="shared" si="10"/>
        <v>0</v>
      </c>
      <c r="F141">
        <f>wyniki!$A$168</f>
        <v>0</v>
      </c>
      <c r="G141" s="56">
        <f t="shared" si="11"/>
        <v>0</v>
      </c>
      <c r="J141" s="79" t="e">
        <f t="shared" si="12"/>
        <v>#NUM!</v>
      </c>
      <c r="K141" s="61" t="e">
        <f>-LARGE($E$2:$E$241,140)</f>
        <v>#NUM!</v>
      </c>
      <c r="L141" s="59" t="e">
        <f t="shared" si="14"/>
        <v>#NUM!</v>
      </c>
      <c r="M141" s="90" t="e">
        <f t="shared" si="13"/>
        <v>#NUM!</v>
      </c>
      <c r="N141" s="37">
        <v>140</v>
      </c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</row>
    <row r="142" spans="2:39" ht="17.25" thickTop="1" thickBot="1">
      <c r="B142">
        <f>wyniki!B171</f>
        <v>0</v>
      </c>
      <c r="C142" s="56">
        <f>wyniki!C171</f>
        <v>0</v>
      </c>
      <c r="D142" s="18">
        <v>-1.41E-3</v>
      </c>
      <c r="E142" s="56" t="b">
        <f t="shared" si="10"/>
        <v>0</v>
      </c>
      <c r="F142">
        <f>wyniki!$A$168</f>
        <v>0</v>
      </c>
      <c r="G142" s="56">
        <f t="shared" si="11"/>
        <v>0</v>
      </c>
      <c r="J142" s="79" t="e">
        <f t="shared" si="12"/>
        <v>#NUM!</v>
      </c>
      <c r="K142" s="61" t="e">
        <f>-LARGE($E$2:$E$241,141)</f>
        <v>#NUM!</v>
      </c>
      <c r="L142" s="59" t="e">
        <f t="shared" si="14"/>
        <v>#NUM!</v>
      </c>
      <c r="M142" s="90" t="e">
        <f t="shared" si="13"/>
        <v>#NUM!</v>
      </c>
      <c r="N142" s="37">
        <v>141</v>
      </c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</row>
    <row r="143" spans="2:39" ht="17.25" thickTop="1" thickBot="1">
      <c r="B143">
        <f>wyniki!B172</f>
        <v>0</v>
      </c>
      <c r="C143" s="56">
        <f>wyniki!C172</f>
        <v>0</v>
      </c>
      <c r="D143" s="18">
        <v>-1.42E-3</v>
      </c>
      <c r="E143" s="56" t="b">
        <f t="shared" si="10"/>
        <v>0</v>
      </c>
      <c r="F143">
        <f>wyniki!$A$168</f>
        <v>0</v>
      </c>
      <c r="G143" s="56">
        <f t="shared" si="11"/>
        <v>0</v>
      </c>
      <c r="J143" s="79" t="e">
        <f t="shared" si="12"/>
        <v>#NUM!</v>
      </c>
      <c r="K143" s="61" t="e">
        <f>-LARGE($E$2:$E$241,142)</f>
        <v>#NUM!</v>
      </c>
      <c r="L143" s="59" t="e">
        <f t="shared" si="14"/>
        <v>#NUM!</v>
      </c>
      <c r="M143" s="90" t="e">
        <f t="shared" si="13"/>
        <v>#NUM!</v>
      </c>
      <c r="N143" s="37">
        <v>142</v>
      </c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</row>
    <row r="144" spans="2:39" ht="17.25" thickTop="1" thickBot="1">
      <c r="B144">
        <f>wyniki!B173</f>
        <v>0</v>
      </c>
      <c r="C144" s="56">
        <f>wyniki!C173</f>
        <v>0</v>
      </c>
      <c r="D144" s="18">
        <v>-1.4300000000000001E-3</v>
      </c>
      <c r="E144" s="56" t="b">
        <f t="shared" si="10"/>
        <v>0</v>
      </c>
      <c r="F144">
        <f>wyniki!$A$168</f>
        <v>0</v>
      </c>
      <c r="G144" s="56">
        <f t="shared" si="11"/>
        <v>0</v>
      </c>
      <c r="J144" s="79" t="e">
        <f t="shared" si="12"/>
        <v>#NUM!</v>
      </c>
      <c r="K144" s="61" t="e">
        <f>-LARGE($E$2:$E$241,143)</f>
        <v>#NUM!</v>
      </c>
      <c r="L144" s="59" t="e">
        <f t="shared" si="14"/>
        <v>#NUM!</v>
      </c>
      <c r="M144" s="90" t="e">
        <f t="shared" si="13"/>
        <v>#NUM!</v>
      </c>
      <c r="N144" s="37">
        <v>143</v>
      </c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</row>
    <row r="145" spans="2:39" ht="17.25" thickTop="1" thickBot="1">
      <c r="B145">
        <f>wyniki!B174</f>
        <v>0</v>
      </c>
      <c r="C145" s="56">
        <f>wyniki!C174</f>
        <v>0</v>
      </c>
      <c r="D145" s="18">
        <v>-1.4400000000000001E-3</v>
      </c>
      <c r="E145" s="56" t="b">
        <f t="shared" si="10"/>
        <v>0</v>
      </c>
      <c r="F145">
        <f>wyniki!$A$168</f>
        <v>0</v>
      </c>
      <c r="G145" s="56">
        <f t="shared" si="11"/>
        <v>0</v>
      </c>
      <c r="J145" s="79" t="e">
        <f t="shared" si="12"/>
        <v>#NUM!</v>
      </c>
      <c r="K145" s="61" t="e">
        <f>-LARGE($E$2:$E$241,144)</f>
        <v>#NUM!</v>
      </c>
      <c r="L145" s="59" t="e">
        <f t="shared" si="14"/>
        <v>#NUM!</v>
      </c>
      <c r="M145" s="90" t="e">
        <f t="shared" si="13"/>
        <v>#NUM!</v>
      </c>
      <c r="N145" s="37">
        <v>144</v>
      </c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</row>
    <row r="146" spans="2:39" ht="17.25" thickTop="1" thickBot="1">
      <c r="B146">
        <f>wyniki!B176</f>
        <v>0</v>
      </c>
      <c r="C146" s="56">
        <f>wyniki!C176</f>
        <v>0</v>
      </c>
      <c r="D146" s="18">
        <v>-1.4499999999999999E-3</v>
      </c>
      <c r="E146" s="56" t="b">
        <f t="shared" si="10"/>
        <v>0</v>
      </c>
      <c r="F146">
        <f>wyniki!$A$175</f>
        <v>0</v>
      </c>
      <c r="G146" s="56">
        <f t="shared" si="11"/>
        <v>0</v>
      </c>
      <c r="J146" s="79" t="e">
        <f t="shared" si="12"/>
        <v>#NUM!</v>
      </c>
      <c r="K146" s="61" t="e">
        <f>-LARGE($E$2:$E$241,145)</f>
        <v>#NUM!</v>
      </c>
      <c r="L146" s="59" t="e">
        <f t="shared" si="14"/>
        <v>#NUM!</v>
      </c>
      <c r="M146" s="90" t="e">
        <f t="shared" si="13"/>
        <v>#NUM!</v>
      </c>
      <c r="N146" s="37">
        <v>145</v>
      </c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</row>
    <row r="147" spans="2:39" ht="17.25" thickTop="1" thickBot="1">
      <c r="B147">
        <f>wyniki!B177</f>
        <v>0</v>
      </c>
      <c r="C147" s="56">
        <f>wyniki!C177</f>
        <v>0</v>
      </c>
      <c r="D147" s="18">
        <v>-1.4599999999999999E-3</v>
      </c>
      <c r="E147" s="56" t="b">
        <f t="shared" si="10"/>
        <v>0</v>
      </c>
      <c r="F147">
        <f>wyniki!$A$175</f>
        <v>0</v>
      </c>
      <c r="G147" s="56">
        <f t="shared" si="11"/>
        <v>0</v>
      </c>
      <c r="J147" s="79" t="e">
        <f t="shared" si="12"/>
        <v>#NUM!</v>
      </c>
      <c r="K147" s="61" t="e">
        <f>-LARGE($E$2:$E$241,146)</f>
        <v>#NUM!</v>
      </c>
      <c r="L147" s="59" t="e">
        <f t="shared" si="14"/>
        <v>#NUM!</v>
      </c>
      <c r="M147" s="90" t="e">
        <f t="shared" si="13"/>
        <v>#NUM!</v>
      </c>
      <c r="N147" s="37">
        <v>146</v>
      </c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</row>
    <row r="148" spans="2:39" ht="17.25" thickTop="1" thickBot="1">
      <c r="B148">
        <f>wyniki!B178</f>
        <v>0</v>
      </c>
      <c r="C148" s="56">
        <f>wyniki!C178</f>
        <v>0</v>
      </c>
      <c r="D148" s="18">
        <v>-1.47E-3</v>
      </c>
      <c r="E148" s="56" t="b">
        <f t="shared" si="10"/>
        <v>0</v>
      </c>
      <c r="F148">
        <f>wyniki!$A$175</f>
        <v>0</v>
      </c>
      <c r="G148" s="56">
        <f t="shared" si="11"/>
        <v>0</v>
      </c>
      <c r="J148" s="79" t="e">
        <f t="shared" si="12"/>
        <v>#NUM!</v>
      </c>
      <c r="K148" s="61" t="e">
        <f>-LARGE($E$2:$E$241,147)</f>
        <v>#NUM!</v>
      </c>
      <c r="L148" s="59" t="e">
        <f t="shared" si="14"/>
        <v>#NUM!</v>
      </c>
      <c r="M148" s="90" t="e">
        <f t="shared" si="13"/>
        <v>#NUM!</v>
      </c>
      <c r="N148" s="37">
        <v>147</v>
      </c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</row>
    <row r="149" spans="2:39" ht="17.25" thickTop="1" thickBot="1">
      <c r="B149">
        <f>wyniki!B179</f>
        <v>0</v>
      </c>
      <c r="C149" s="56">
        <f>wyniki!C179</f>
        <v>0</v>
      </c>
      <c r="D149" s="18">
        <v>-1.48E-3</v>
      </c>
      <c r="E149" s="56" t="b">
        <f t="shared" si="10"/>
        <v>0</v>
      </c>
      <c r="F149">
        <f>wyniki!$A$175</f>
        <v>0</v>
      </c>
      <c r="G149" s="56">
        <f t="shared" si="11"/>
        <v>0</v>
      </c>
      <c r="J149" s="79" t="e">
        <f t="shared" si="12"/>
        <v>#NUM!</v>
      </c>
      <c r="K149" s="61" t="e">
        <f>-LARGE($E$2:$E$241,148)</f>
        <v>#NUM!</v>
      </c>
      <c r="L149" s="59" t="e">
        <f t="shared" si="14"/>
        <v>#NUM!</v>
      </c>
      <c r="M149" s="90" t="e">
        <f t="shared" si="13"/>
        <v>#NUM!</v>
      </c>
      <c r="N149" s="37">
        <v>148</v>
      </c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</row>
    <row r="150" spans="2:39" ht="17.25" thickTop="1" thickBot="1">
      <c r="B150">
        <f>wyniki!B180</f>
        <v>0</v>
      </c>
      <c r="C150" s="56">
        <f>wyniki!C180</f>
        <v>0</v>
      </c>
      <c r="D150" s="18">
        <v>-1.49E-3</v>
      </c>
      <c r="E150" s="56" t="b">
        <f t="shared" si="10"/>
        <v>0</v>
      </c>
      <c r="F150">
        <f>wyniki!$A$175</f>
        <v>0</v>
      </c>
      <c r="G150" s="56">
        <f t="shared" si="11"/>
        <v>0</v>
      </c>
      <c r="J150" s="79" t="e">
        <f t="shared" si="12"/>
        <v>#NUM!</v>
      </c>
      <c r="K150" s="61" t="e">
        <f>-LARGE($E$2:$E$241,149)</f>
        <v>#NUM!</v>
      </c>
      <c r="L150" s="59" t="e">
        <f t="shared" si="14"/>
        <v>#NUM!</v>
      </c>
      <c r="M150" s="90" t="e">
        <f t="shared" si="13"/>
        <v>#NUM!</v>
      </c>
      <c r="N150" s="37">
        <v>149</v>
      </c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</row>
    <row r="151" spans="2:39" ht="17.25" thickTop="1" thickBot="1">
      <c r="B151">
        <f>wyniki!B181</f>
        <v>0</v>
      </c>
      <c r="C151" s="56">
        <f>wyniki!C181</f>
        <v>0</v>
      </c>
      <c r="D151" s="18">
        <v>-1.5E-3</v>
      </c>
      <c r="E151" s="56" t="b">
        <f t="shared" si="10"/>
        <v>0</v>
      </c>
      <c r="F151">
        <f>wyniki!$A$175</f>
        <v>0</v>
      </c>
      <c r="G151" s="56">
        <f t="shared" si="11"/>
        <v>0</v>
      </c>
      <c r="J151" s="79" t="e">
        <f t="shared" si="12"/>
        <v>#NUM!</v>
      </c>
      <c r="K151" s="61" t="e">
        <f>-LARGE($E$2:$E$241,150)</f>
        <v>#NUM!</v>
      </c>
      <c r="L151" s="59" t="e">
        <f t="shared" si="14"/>
        <v>#NUM!</v>
      </c>
      <c r="M151" s="90" t="e">
        <f t="shared" si="13"/>
        <v>#NUM!</v>
      </c>
      <c r="N151" s="37">
        <v>150</v>
      </c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</row>
    <row r="152" spans="2:39" ht="17.25" thickTop="1" thickBot="1">
      <c r="B152">
        <f>wyniki!B183</f>
        <v>0</v>
      </c>
      <c r="C152" s="56">
        <f>wyniki!C183</f>
        <v>0</v>
      </c>
      <c r="D152" s="18">
        <v>-1.5100000000000001E-3</v>
      </c>
      <c r="E152" s="56" t="b">
        <f t="shared" si="10"/>
        <v>0</v>
      </c>
      <c r="F152">
        <f>wyniki!$A$182</f>
        <v>0</v>
      </c>
      <c r="G152" s="56">
        <f t="shared" si="11"/>
        <v>0</v>
      </c>
      <c r="J152" s="79" t="e">
        <f t="shared" si="12"/>
        <v>#NUM!</v>
      </c>
      <c r="K152" s="61" t="e">
        <f>-LARGE($E$2:$E$241,151)</f>
        <v>#NUM!</v>
      </c>
      <c r="L152" s="59" t="e">
        <f t="shared" si="14"/>
        <v>#NUM!</v>
      </c>
      <c r="M152" s="90" t="e">
        <f t="shared" si="13"/>
        <v>#NUM!</v>
      </c>
      <c r="N152" s="37">
        <v>151</v>
      </c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</row>
    <row r="153" spans="2:39" ht="17.25" thickTop="1" thickBot="1">
      <c r="B153">
        <f>wyniki!B184</f>
        <v>0</v>
      </c>
      <c r="C153" s="56">
        <f>wyniki!C184</f>
        <v>0</v>
      </c>
      <c r="D153" s="18">
        <v>-1.5200000000000001E-3</v>
      </c>
      <c r="E153" s="56" t="b">
        <f t="shared" si="10"/>
        <v>0</v>
      </c>
      <c r="F153">
        <f>wyniki!$A$182</f>
        <v>0</v>
      </c>
      <c r="G153" s="56">
        <f t="shared" si="11"/>
        <v>0</v>
      </c>
      <c r="J153" s="79" t="e">
        <f t="shared" si="12"/>
        <v>#NUM!</v>
      </c>
      <c r="K153" s="61" t="e">
        <f>-LARGE($E$2:$E$241,152)</f>
        <v>#NUM!</v>
      </c>
      <c r="L153" s="59" t="e">
        <f t="shared" si="14"/>
        <v>#NUM!</v>
      </c>
      <c r="M153" s="90" t="e">
        <f t="shared" si="13"/>
        <v>#NUM!</v>
      </c>
      <c r="N153" s="37">
        <v>152</v>
      </c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</row>
    <row r="154" spans="2:39" ht="17.25" thickTop="1" thickBot="1">
      <c r="B154">
        <f>wyniki!B185</f>
        <v>0</v>
      </c>
      <c r="C154" s="56">
        <f>wyniki!C185</f>
        <v>0</v>
      </c>
      <c r="D154" s="18">
        <v>-1.5299999999999999E-3</v>
      </c>
      <c r="E154" s="56" t="b">
        <f t="shared" si="10"/>
        <v>0</v>
      </c>
      <c r="F154">
        <f>wyniki!$A$182</f>
        <v>0</v>
      </c>
      <c r="G154" s="56">
        <f t="shared" si="11"/>
        <v>0</v>
      </c>
      <c r="J154" s="79" t="e">
        <f t="shared" si="12"/>
        <v>#NUM!</v>
      </c>
      <c r="K154" s="61" t="e">
        <f>-LARGE($E$2:$E$241,153)</f>
        <v>#NUM!</v>
      </c>
      <c r="L154" s="59" t="e">
        <f t="shared" si="14"/>
        <v>#NUM!</v>
      </c>
      <c r="M154" s="90" t="e">
        <f t="shared" si="13"/>
        <v>#NUM!</v>
      </c>
      <c r="N154" s="37">
        <v>153</v>
      </c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</row>
    <row r="155" spans="2:39" ht="17.25" thickTop="1" thickBot="1">
      <c r="B155">
        <f>wyniki!B186</f>
        <v>0</v>
      </c>
      <c r="C155" s="56">
        <f>wyniki!C186</f>
        <v>0</v>
      </c>
      <c r="D155" s="18">
        <v>-1.5399999999999999E-3</v>
      </c>
      <c r="E155" s="56" t="b">
        <f t="shared" si="10"/>
        <v>0</v>
      </c>
      <c r="F155">
        <f>wyniki!$A$182</f>
        <v>0</v>
      </c>
      <c r="G155" s="56">
        <f t="shared" si="11"/>
        <v>0</v>
      </c>
      <c r="J155" s="79" t="e">
        <f t="shared" si="12"/>
        <v>#NUM!</v>
      </c>
      <c r="K155" s="61" t="e">
        <f>-LARGE($E$2:$E$241,154)</f>
        <v>#NUM!</v>
      </c>
      <c r="L155" s="59" t="e">
        <f t="shared" si="14"/>
        <v>#NUM!</v>
      </c>
      <c r="M155" s="90" t="e">
        <f t="shared" si="13"/>
        <v>#NUM!</v>
      </c>
      <c r="N155" s="37">
        <v>154</v>
      </c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</row>
    <row r="156" spans="2:39" ht="17.25" thickTop="1" thickBot="1">
      <c r="B156">
        <f>wyniki!B187</f>
        <v>0</v>
      </c>
      <c r="C156" s="56">
        <f>wyniki!C187</f>
        <v>0</v>
      </c>
      <c r="D156" s="18">
        <v>-1.5499999999999999E-3</v>
      </c>
      <c r="E156" s="56" t="b">
        <f t="shared" si="10"/>
        <v>0</v>
      </c>
      <c r="F156">
        <f>wyniki!$A$182</f>
        <v>0</v>
      </c>
      <c r="G156" s="56">
        <f t="shared" si="11"/>
        <v>0</v>
      </c>
      <c r="J156" s="79" t="e">
        <f t="shared" si="12"/>
        <v>#NUM!</v>
      </c>
      <c r="K156" s="61" t="e">
        <f>-LARGE($E$2:$E$241,155)</f>
        <v>#NUM!</v>
      </c>
      <c r="L156" s="59" t="e">
        <f t="shared" si="14"/>
        <v>#NUM!</v>
      </c>
      <c r="M156" s="90" t="e">
        <f t="shared" si="13"/>
        <v>#NUM!</v>
      </c>
      <c r="N156" s="37">
        <v>155</v>
      </c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</row>
    <row r="157" spans="2:39" ht="17.25" thickTop="1" thickBot="1">
      <c r="B157">
        <f>wyniki!B188</f>
        <v>0</v>
      </c>
      <c r="C157" s="56">
        <f>wyniki!C188</f>
        <v>0</v>
      </c>
      <c r="D157" s="18">
        <v>-1.56E-3</v>
      </c>
      <c r="E157" s="56" t="b">
        <f t="shared" si="10"/>
        <v>0</v>
      </c>
      <c r="F157">
        <f>wyniki!$A$182</f>
        <v>0</v>
      </c>
      <c r="G157" s="56">
        <f t="shared" si="11"/>
        <v>0</v>
      </c>
      <c r="J157" s="79" t="e">
        <f t="shared" si="12"/>
        <v>#NUM!</v>
      </c>
      <c r="K157" s="61" t="e">
        <f>-LARGE($E$2:$E$241,156)</f>
        <v>#NUM!</v>
      </c>
      <c r="L157" s="59" t="e">
        <f t="shared" si="14"/>
        <v>#NUM!</v>
      </c>
      <c r="M157" s="90" t="e">
        <f t="shared" si="13"/>
        <v>#NUM!</v>
      </c>
      <c r="N157" s="37">
        <v>156</v>
      </c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</row>
    <row r="158" spans="2:39" ht="17.25" thickTop="1" thickBot="1">
      <c r="B158">
        <f>wyniki!B190</f>
        <v>0</v>
      </c>
      <c r="C158" s="56">
        <f>wyniki!C190</f>
        <v>0</v>
      </c>
      <c r="D158" s="18">
        <v>-1.57E-3</v>
      </c>
      <c r="E158" s="56" t="b">
        <f t="shared" si="10"/>
        <v>0</v>
      </c>
      <c r="F158">
        <f>wyniki!$A$189</f>
        <v>0</v>
      </c>
      <c r="G158" s="56">
        <f t="shared" si="11"/>
        <v>0</v>
      </c>
      <c r="J158" s="79" t="e">
        <f t="shared" si="12"/>
        <v>#NUM!</v>
      </c>
      <c r="K158" s="61" t="e">
        <f>-LARGE($E$2:$E$241,157)</f>
        <v>#NUM!</v>
      </c>
      <c r="L158" s="59" t="e">
        <f t="shared" si="14"/>
        <v>#NUM!</v>
      </c>
      <c r="M158" s="90" t="e">
        <f t="shared" si="13"/>
        <v>#NUM!</v>
      </c>
      <c r="N158" s="37">
        <v>157</v>
      </c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</row>
    <row r="159" spans="2:39" ht="17.25" thickTop="1" thickBot="1">
      <c r="B159">
        <f>wyniki!B191</f>
        <v>0</v>
      </c>
      <c r="C159" s="56">
        <f>wyniki!C191</f>
        <v>0</v>
      </c>
      <c r="D159" s="18">
        <v>-1.58E-3</v>
      </c>
      <c r="E159" s="56" t="b">
        <f t="shared" si="10"/>
        <v>0</v>
      </c>
      <c r="F159">
        <f>wyniki!$A$189</f>
        <v>0</v>
      </c>
      <c r="G159" s="56">
        <f t="shared" si="11"/>
        <v>0</v>
      </c>
      <c r="J159" s="79" t="e">
        <f t="shared" si="12"/>
        <v>#NUM!</v>
      </c>
      <c r="K159" s="61" t="e">
        <f>-LARGE($E$2:$E$241,158)</f>
        <v>#NUM!</v>
      </c>
      <c r="L159" s="59" t="e">
        <f t="shared" si="14"/>
        <v>#NUM!</v>
      </c>
      <c r="M159" s="90" t="e">
        <f t="shared" si="13"/>
        <v>#NUM!</v>
      </c>
      <c r="N159" s="37">
        <v>158</v>
      </c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</row>
    <row r="160" spans="2:39" ht="17.25" thickTop="1" thickBot="1">
      <c r="B160">
        <f>wyniki!B192</f>
        <v>0</v>
      </c>
      <c r="C160" s="56">
        <f>wyniki!C192</f>
        <v>0</v>
      </c>
      <c r="D160" s="18">
        <v>-1.5900000000000001E-3</v>
      </c>
      <c r="E160" s="56" t="b">
        <f t="shared" si="10"/>
        <v>0</v>
      </c>
      <c r="F160">
        <f>wyniki!$A$189</f>
        <v>0</v>
      </c>
      <c r="G160" s="56">
        <f t="shared" si="11"/>
        <v>0</v>
      </c>
      <c r="J160" s="79" t="e">
        <f t="shared" si="12"/>
        <v>#NUM!</v>
      </c>
      <c r="K160" s="61" t="e">
        <f>-LARGE($E$2:$E$241,159)</f>
        <v>#NUM!</v>
      </c>
      <c r="L160" s="59" t="e">
        <f t="shared" si="14"/>
        <v>#NUM!</v>
      </c>
      <c r="M160" s="90" t="e">
        <f t="shared" si="13"/>
        <v>#NUM!</v>
      </c>
      <c r="N160" s="37">
        <v>159</v>
      </c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</row>
    <row r="161" spans="2:39" ht="17.25" thickTop="1" thickBot="1">
      <c r="B161">
        <f>wyniki!B193</f>
        <v>0</v>
      </c>
      <c r="C161" s="56">
        <f>wyniki!C193</f>
        <v>0</v>
      </c>
      <c r="D161" s="18">
        <v>-1.6000000000000001E-3</v>
      </c>
      <c r="E161" s="56" t="b">
        <f t="shared" si="10"/>
        <v>0</v>
      </c>
      <c r="F161">
        <f>wyniki!$A$189</f>
        <v>0</v>
      </c>
      <c r="G161" s="56">
        <f t="shared" si="11"/>
        <v>0</v>
      </c>
      <c r="J161" s="79" t="e">
        <f t="shared" si="12"/>
        <v>#NUM!</v>
      </c>
      <c r="K161" s="61" t="e">
        <f>-LARGE($E$2:$E$241,160)</f>
        <v>#NUM!</v>
      </c>
      <c r="L161" s="59" t="e">
        <f t="shared" si="14"/>
        <v>#NUM!</v>
      </c>
      <c r="M161" s="90" t="e">
        <f t="shared" si="13"/>
        <v>#NUM!</v>
      </c>
      <c r="N161" s="37">
        <v>160</v>
      </c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</row>
    <row r="162" spans="2:39" ht="17.25" thickTop="1" thickBot="1">
      <c r="B162">
        <f>wyniki!B194</f>
        <v>0</v>
      </c>
      <c r="C162" s="56">
        <f>wyniki!C194</f>
        <v>0</v>
      </c>
      <c r="D162" s="18">
        <v>-1.6100000000000001E-3</v>
      </c>
      <c r="E162" s="56" t="b">
        <f t="shared" si="10"/>
        <v>0</v>
      </c>
      <c r="F162">
        <f>wyniki!$A$189</f>
        <v>0</v>
      </c>
      <c r="G162" s="56">
        <f t="shared" si="11"/>
        <v>0</v>
      </c>
      <c r="J162" s="79" t="e">
        <f t="shared" si="12"/>
        <v>#NUM!</v>
      </c>
      <c r="K162" s="61" t="e">
        <f>-LARGE($E$2:$E$241,161)</f>
        <v>#NUM!</v>
      </c>
      <c r="L162" s="59" t="e">
        <f t="shared" si="14"/>
        <v>#NUM!</v>
      </c>
      <c r="M162" s="90" t="e">
        <f t="shared" si="13"/>
        <v>#NUM!</v>
      </c>
      <c r="N162" s="37">
        <v>161</v>
      </c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</row>
    <row r="163" spans="2:39" ht="17.25" thickTop="1" thickBot="1">
      <c r="B163">
        <f>wyniki!B195</f>
        <v>0</v>
      </c>
      <c r="C163" s="56">
        <f>wyniki!C195</f>
        <v>0</v>
      </c>
      <c r="D163" s="18">
        <v>-1.6199999999999999E-3</v>
      </c>
      <c r="E163" s="56" t="b">
        <f t="shared" si="10"/>
        <v>0</v>
      </c>
      <c r="F163">
        <f>wyniki!$A$189</f>
        <v>0</v>
      </c>
      <c r="G163" s="56">
        <f t="shared" si="11"/>
        <v>0</v>
      </c>
      <c r="J163" s="79" t="e">
        <f t="shared" si="12"/>
        <v>#NUM!</v>
      </c>
      <c r="K163" s="61" t="e">
        <f>-LARGE($E$2:$E$241,162)</f>
        <v>#NUM!</v>
      </c>
      <c r="L163" s="59" t="e">
        <f t="shared" si="14"/>
        <v>#NUM!</v>
      </c>
      <c r="M163" s="90" t="e">
        <f t="shared" si="13"/>
        <v>#NUM!</v>
      </c>
      <c r="N163" s="37">
        <v>162</v>
      </c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</row>
    <row r="164" spans="2:39" ht="17.25" thickTop="1" thickBot="1">
      <c r="B164">
        <f>wyniki!B197</f>
        <v>0</v>
      </c>
      <c r="C164" s="56">
        <f>wyniki!C197</f>
        <v>0</v>
      </c>
      <c r="D164" s="18">
        <v>-1.6299999999999999E-3</v>
      </c>
      <c r="E164" s="56" t="b">
        <f t="shared" si="10"/>
        <v>0</v>
      </c>
      <c r="F164">
        <f>wyniki!$A$196</f>
        <v>0</v>
      </c>
      <c r="G164" s="56">
        <f t="shared" si="11"/>
        <v>0</v>
      </c>
      <c r="J164" s="79" t="e">
        <f t="shared" si="12"/>
        <v>#NUM!</v>
      </c>
      <c r="K164" s="61" t="e">
        <f>-LARGE($E$2:$E$241,163)</f>
        <v>#NUM!</v>
      </c>
      <c r="L164" s="59" t="e">
        <f t="shared" si="14"/>
        <v>#NUM!</v>
      </c>
      <c r="M164" s="90" t="e">
        <f t="shared" si="13"/>
        <v>#NUM!</v>
      </c>
      <c r="N164" s="37">
        <v>163</v>
      </c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</row>
    <row r="165" spans="2:39" ht="17.25" thickTop="1" thickBot="1">
      <c r="B165">
        <f>wyniki!B198</f>
        <v>0</v>
      </c>
      <c r="C165" s="56">
        <f>wyniki!C198</f>
        <v>0</v>
      </c>
      <c r="D165" s="18">
        <v>-1.64E-3</v>
      </c>
      <c r="E165" s="56" t="b">
        <f t="shared" si="10"/>
        <v>0</v>
      </c>
      <c r="F165">
        <f>wyniki!$A$196</f>
        <v>0</v>
      </c>
      <c r="G165" s="56">
        <f t="shared" si="11"/>
        <v>0</v>
      </c>
      <c r="J165" s="79" t="e">
        <f t="shared" si="12"/>
        <v>#NUM!</v>
      </c>
      <c r="K165" s="61" t="e">
        <f>-LARGE($E$2:$E$241,164)</f>
        <v>#NUM!</v>
      </c>
      <c r="L165" s="59" t="e">
        <f t="shared" si="14"/>
        <v>#NUM!</v>
      </c>
      <c r="M165" s="90" t="e">
        <f t="shared" si="13"/>
        <v>#NUM!</v>
      </c>
      <c r="N165" s="37">
        <v>164</v>
      </c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</row>
    <row r="166" spans="2:39" ht="17.25" thickTop="1" thickBot="1">
      <c r="B166">
        <f>wyniki!B199</f>
        <v>0</v>
      </c>
      <c r="C166" s="56">
        <f>wyniki!C199</f>
        <v>0</v>
      </c>
      <c r="D166" s="18">
        <v>-1.65E-3</v>
      </c>
      <c r="E166" s="56" t="b">
        <f t="shared" si="10"/>
        <v>0</v>
      </c>
      <c r="F166">
        <f>wyniki!$A$196</f>
        <v>0</v>
      </c>
      <c r="G166" s="56">
        <f t="shared" si="11"/>
        <v>0</v>
      </c>
      <c r="J166" s="79" t="e">
        <f t="shared" si="12"/>
        <v>#NUM!</v>
      </c>
      <c r="K166" s="61" t="e">
        <f>-LARGE($E$2:$E$241,165)</f>
        <v>#NUM!</v>
      </c>
      <c r="L166" s="59" t="e">
        <f t="shared" si="14"/>
        <v>#NUM!</v>
      </c>
      <c r="M166" s="90" t="e">
        <f t="shared" si="13"/>
        <v>#NUM!</v>
      </c>
      <c r="N166" s="37">
        <v>165</v>
      </c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</row>
    <row r="167" spans="2:39" ht="17.25" thickTop="1" thickBot="1">
      <c r="B167">
        <f>wyniki!B200</f>
        <v>0</v>
      </c>
      <c r="C167" s="56">
        <f>wyniki!C200</f>
        <v>0</v>
      </c>
      <c r="D167" s="18">
        <v>-1.66E-3</v>
      </c>
      <c r="E167" s="56" t="b">
        <f t="shared" si="10"/>
        <v>0</v>
      </c>
      <c r="F167">
        <f>wyniki!$A$196</f>
        <v>0</v>
      </c>
      <c r="G167" s="56">
        <f t="shared" si="11"/>
        <v>0</v>
      </c>
      <c r="J167" s="79" t="e">
        <f t="shared" si="12"/>
        <v>#NUM!</v>
      </c>
      <c r="K167" s="61" t="e">
        <f>-LARGE($E$2:$E$241,166)</f>
        <v>#NUM!</v>
      </c>
      <c r="L167" s="59" t="e">
        <f t="shared" si="14"/>
        <v>#NUM!</v>
      </c>
      <c r="M167" s="90" t="e">
        <f t="shared" si="13"/>
        <v>#NUM!</v>
      </c>
      <c r="N167" s="37">
        <v>166</v>
      </c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</row>
    <row r="168" spans="2:39" ht="17.25" thickTop="1" thickBot="1">
      <c r="B168">
        <f>wyniki!B201</f>
        <v>0</v>
      </c>
      <c r="C168" s="56">
        <f>wyniki!C201</f>
        <v>0</v>
      </c>
      <c r="D168" s="18">
        <v>-1.67E-3</v>
      </c>
      <c r="E168" s="56" t="b">
        <f t="shared" si="10"/>
        <v>0</v>
      </c>
      <c r="F168">
        <f>wyniki!$A$196</f>
        <v>0</v>
      </c>
      <c r="G168" s="56">
        <f t="shared" si="11"/>
        <v>0</v>
      </c>
      <c r="J168" s="79" t="e">
        <f t="shared" si="12"/>
        <v>#NUM!</v>
      </c>
      <c r="K168" s="61" t="e">
        <f>-LARGE($E$2:$E$241,167)</f>
        <v>#NUM!</v>
      </c>
      <c r="L168" s="59" t="e">
        <f t="shared" si="14"/>
        <v>#NUM!</v>
      </c>
      <c r="M168" s="90" t="e">
        <f t="shared" si="13"/>
        <v>#NUM!</v>
      </c>
      <c r="N168" s="37">
        <v>167</v>
      </c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</row>
    <row r="169" spans="2:39" ht="17.25" thickTop="1" thickBot="1">
      <c r="B169">
        <f>wyniki!B202</f>
        <v>0</v>
      </c>
      <c r="C169" s="56">
        <f>wyniki!C202</f>
        <v>0</v>
      </c>
      <c r="D169" s="18">
        <v>-1.6800000000000001E-3</v>
      </c>
      <c r="E169" s="56" t="b">
        <f t="shared" si="10"/>
        <v>0</v>
      </c>
      <c r="F169">
        <f>wyniki!$A$196</f>
        <v>0</v>
      </c>
      <c r="G169" s="56">
        <f t="shared" si="11"/>
        <v>0</v>
      </c>
      <c r="J169" s="79" t="e">
        <f t="shared" si="12"/>
        <v>#NUM!</v>
      </c>
      <c r="K169" s="61" t="e">
        <f>-LARGE($E$2:$E$241,168)</f>
        <v>#NUM!</v>
      </c>
      <c r="L169" s="59" t="e">
        <f t="shared" si="14"/>
        <v>#NUM!</v>
      </c>
      <c r="M169" s="90" t="e">
        <f t="shared" si="13"/>
        <v>#NUM!</v>
      </c>
      <c r="N169" s="37">
        <v>168</v>
      </c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</row>
    <row r="170" spans="2:39" ht="17.25" thickTop="1" thickBot="1">
      <c r="B170">
        <f>wyniki!B204</f>
        <v>0</v>
      </c>
      <c r="C170" s="56">
        <f>wyniki!C204</f>
        <v>0</v>
      </c>
      <c r="D170" s="18">
        <v>-1.6900000000000001E-3</v>
      </c>
      <c r="E170" s="56" t="b">
        <f t="shared" si="10"/>
        <v>0</v>
      </c>
      <c r="F170">
        <f>wyniki!$A$203</f>
        <v>0</v>
      </c>
      <c r="G170" s="56">
        <f t="shared" si="11"/>
        <v>0</v>
      </c>
      <c r="J170" s="79" t="e">
        <f t="shared" si="12"/>
        <v>#NUM!</v>
      </c>
      <c r="K170" s="61" t="e">
        <f>-LARGE($E$2:$E$241,169)</f>
        <v>#NUM!</v>
      </c>
      <c r="L170" s="59" t="e">
        <f t="shared" si="14"/>
        <v>#NUM!</v>
      </c>
      <c r="M170" s="90" t="e">
        <f t="shared" si="13"/>
        <v>#NUM!</v>
      </c>
      <c r="N170" s="37">
        <v>169</v>
      </c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</row>
    <row r="171" spans="2:39" ht="17.25" thickTop="1" thickBot="1">
      <c r="B171">
        <f>wyniki!B205</f>
        <v>0</v>
      </c>
      <c r="C171" s="56">
        <f>wyniki!C205</f>
        <v>0</v>
      </c>
      <c r="D171" s="18">
        <v>-1.6999999999999999E-3</v>
      </c>
      <c r="E171" s="56" t="b">
        <f t="shared" si="10"/>
        <v>0</v>
      </c>
      <c r="F171">
        <f>wyniki!$A$203</f>
        <v>0</v>
      </c>
      <c r="G171" s="56">
        <f t="shared" si="11"/>
        <v>0</v>
      </c>
      <c r="J171" s="79" t="e">
        <f t="shared" si="12"/>
        <v>#NUM!</v>
      </c>
      <c r="K171" s="61" t="e">
        <f>-LARGE($E$2:$E$241,170)</f>
        <v>#NUM!</v>
      </c>
      <c r="L171" s="59" t="e">
        <f t="shared" si="14"/>
        <v>#NUM!</v>
      </c>
      <c r="M171" s="90" t="e">
        <f t="shared" si="13"/>
        <v>#NUM!</v>
      </c>
      <c r="N171" s="37">
        <v>170</v>
      </c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</row>
    <row r="172" spans="2:39" ht="17.25" thickTop="1" thickBot="1">
      <c r="B172">
        <f>wyniki!B206</f>
        <v>0</v>
      </c>
      <c r="C172" s="56">
        <f>wyniki!C206</f>
        <v>0</v>
      </c>
      <c r="D172" s="18">
        <v>-1.7099999999999999E-3</v>
      </c>
      <c r="E172" s="56" t="b">
        <f t="shared" si="10"/>
        <v>0</v>
      </c>
      <c r="F172">
        <f>wyniki!$A$203</f>
        <v>0</v>
      </c>
      <c r="G172" s="56">
        <f t="shared" si="11"/>
        <v>0</v>
      </c>
      <c r="J172" s="79" t="e">
        <f t="shared" si="12"/>
        <v>#NUM!</v>
      </c>
      <c r="K172" s="61" t="e">
        <f>-LARGE($E$2:$E$241,171)</f>
        <v>#NUM!</v>
      </c>
      <c r="L172" s="59" t="e">
        <f t="shared" si="14"/>
        <v>#NUM!</v>
      </c>
      <c r="M172" s="90" t="e">
        <f t="shared" si="13"/>
        <v>#NUM!</v>
      </c>
      <c r="N172" s="37">
        <v>171</v>
      </c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</row>
    <row r="173" spans="2:39" ht="17.25" thickTop="1" thickBot="1">
      <c r="B173">
        <f>wyniki!B207</f>
        <v>0</v>
      </c>
      <c r="C173" s="56">
        <f>wyniki!C207</f>
        <v>0</v>
      </c>
      <c r="D173" s="18">
        <v>-1.72E-3</v>
      </c>
      <c r="E173" s="56" t="b">
        <f t="shared" si="10"/>
        <v>0</v>
      </c>
      <c r="F173">
        <f>wyniki!$A$203</f>
        <v>0</v>
      </c>
      <c r="G173" s="56">
        <f t="shared" si="11"/>
        <v>0</v>
      </c>
      <c r="J173" s="79" t="e">
        <f t="shared" si="12"/>
        <v>#NUM!</v>
      </c>
      <c r="K173" s="61" t="e">
        <f>-LARGE($E$2:$E$241,172)</f>
        <v>#NUM!</v>
      </c>
      <c r="L173" s="59" t="e">
        <f t="shared" si="14"/>
        <v>#NUM!</v>
      </c>
      <c r="M173" s="90" t="e">
        <f t="shared" si="13"/>
        <v>#NUM!</v>
      </c>
      <c r="N173" s="37">
        <v>172</v>
      </c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</row>
    <row r="174" spans="2:39" ht="17.25" thickTop="1" thickBot="1">
      <c r="B174">
        <f>wyniki!B208</f>
        <v>0</v>
      </c>
      <c r="C174" s="56">
        <f>wyniki!C208</f>
        <v>0</v>
      </c>
      <c r="D174" s="18">
        <v>-1.73E-3</v>
      </c>
      <c r="E174" s="56" t="b">
        <f t="shared" si="10"/>
        <v>0</v>
      </c>
      <c r="F174">
        <f>wyniki!$A$203</f>
        <v>0</v>
      </c>
      <c r="G174" s="56">
        <f t="shared" si="11"/>
        <v>0</v>
      </c>
      <c r="J174" s="79" t="e">
        <f t="shared" si="12"/>
        <v>#NUM!</v>
      </c>
      <c r="K174" s="61" t="e">
        <f>-LARGE($E$2:$E$241,173)</f>
        <v>#NUM!</v>
      </c>
      <c r="L174" s="59" t="e">
        <f t="shared" si="14"/>
        <v>#NUM!</v>
      </c>
      <c r="M174" s="90" t="e">
        <f t="shared" si="13"/>
        <v>#NUM!</v>
      </c>
      <c r="N174" s="37">
        <v>173</v>
      </c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</row>
    <row r="175" spans="2:39" ht="17.25" thickTop="1" thickBot="1">
      <c r="B175">
        <f>wyniki!B209</f>
        <v>0</v>
      </c>
      <c r="C175" s="56">
        <f>wyniki!C209</f>
        <v>0</v>
      </c>
      <c r="D175" s="18">
        <v>-1.74E-3</v>
      </c>
      <c r="E175" s="56" t="b">
        <f t="shared" si="10"/>
        <v>0</v>
      </c>
      <c r="F175">
        <f>wyniki!$A$203</f>
        <v>0</v>
      </c>
      <c r="G175" s="56">
        <f t="shared" si="11"/>
        <v>0</v>
      </c>
      <c r="J175" s="79" t="e">
        <f t="shared" si="12"/>
        <v>#NUM!</v>
      </c>
      <c r="K175" s="61" t="e">
        <f>-LARGE($E$2:$E$241,174)</f>
        <v>#NUM!</v>
      </c>
      <c r="L175" s="59" t="e">
        <f t="shared" si="14"/>
        <v>#NUM!</v>
      </c>
      <c r="M175" s="90" t="e">
        <f t="shared" si="13"/>
        <v>#NUM!</v>
      </c>
      <c r="N175" s="37">
        <v>174</v>
      </c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</row>
    <row r="176" spans="2:39" ht="17.25" thickTop="1" thickBot="1">
      <c r="B176">
        <f>wyniki!B211</f>
        <v>0</v>
      </c>
      <c r="C176" s="56">
        <f>wyniki!C211</f>
        <v>0</v>
      </c>
      <c r="D176" s="18">
        <v>-1.75E-3</v>
      </c>
      <c r="E176" s="56" t="b">
        <f t="shared" si="10"/>
        <v>0</v>
      </c>
      <c r="F176">
        <f>wyniki!$A$210</f>
        <v>0</v>
      </c>
      <c r="G176" s="56">
        <f t="shared" si="11"/>
        <v>0</v>
      </c>
      <c r="J176" s="79" t="e">
        <f t="shared" si="12"/>
        <v>#NUM!</v>
      </c>
      <c r="K176" s="61" t="e">
        <f>-LARGE($E$2:$E$241,175)</f>
        <v>#NUM!</v>
      </c>
      <c r="L176" s="59" t="e">
        <f t="shared" si="14"/>
        <v>#NUM!</v>
      </c>
      <c r="M176" s="90" t="e">
        <f t="shared" si="13"/>
        <v>#NUM!</v>
      </c>
      <c r="N176" s="37">
        <v>175</v>
      </c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</row>
    <row r="177" spans="2:39" ht="17.25" thickTop="1" thickBot="1">
      <c r="B177">
        <f>wyniki!B212</f>
        <v>0</v>
      </c>
      <c r="C177" s="56">
        <f>wyniki!C212</f>
        <v>0</v>
      </c>
      <c r="D177" s="18">
        <v>-1.7600000000000001E-3</v>
      </c>
      <c r="E177" s="56" t="b">
        <f t="shared" si="10"/>
        <v>0</v>
      </c>
      <c r="F177">
        <f>wyniki!$A$210</f>
        <v>0</v>
      </c>
      <c r="G177" s="56">
        <f t="shared" si="11"/>
        <v>0</v>
      </c>
      <c r="J177" s="79" t="e">
        <f t="shared" si="12"/>
        <v>#NUM!</v>
      </c>
      <c r="K177" s="61" t="e">
        <f>-LARGE($E$2:$E$241,176)</f>
        <v>#NUM!</v>
      </c>
      <c r="L177" s="59" t="e">
        <f t="shared" si="14"/>
        <v>#NUM!</v>
      </c>
      <c r="M177" s="90" t="e">
        <f t="shared" si="13"/>
        <v>#NUM!</v>
      </c>
      <c r="N177" s="37">
        <v>176</v>
      </c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</row>
    <row r="178" spans="2:39" ht="17.25" thickTop="1" thickBot="1">
      <c r="B178">
        <f>wyniki!B213</f>
        <v>0</v>
      </c>
      <c r="C178" s="56">
        <f>wyniki!C213</f>
        <v>0</v>
      </c>
      <c r="D178" s="18">
        <v>-1.7700000000000001E-3</v>
      </c>
      <c r="E178" s="56" t="b">
        <f t="shared" si="10"/>
        <v>0</v>
      </c>
      <c r="F178">
        <f>wyniki!$A$210</f>
        <v>0</v>
      </c>
      <c r="G178" s="56">
        <f t="shared" si="11"/>
        <v>0</v>
      </c>
      <c r="J178" s="79" t="e">
        <f t="shared" si="12"/>
        <v>#NUM!</v>
      </c>
      <c r="K178" s="61" t="e">
        <f>-LARGE($E$2:$E$241,177)</f>
        <v>#NUM!</v>
      </c>
      <c r="L178" s="59" t="e">
        <f t="shared" si="14"/>
        <v>#NUM!</v>
      </c>
      <c r="M178" s="90" t="e">
        <f t="shared" si="13"/>
        <v>#NUM!</v>
      </c>
      <c r="N178" s="37">
        <v>177</v>
      </c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</row>
    <row r="179" spans="2:39" ht="17.25" thickTop="1" thickBot="1">
      <c r="B179">
        <f>wyniki!B214</f>
        <v>0</v>
      </c>
      <c r="C179" s="56">
        <f>wyniki!C214</f>
        <v>0</v>
      </c>
      <c r="D179" s="18">
        <v>-1.7799999999999999E-3</v>
      </c>
      <c r="E179" s="56" t="b">
        <f t="shared" si="10"/>
        <v>0</v>
      </c>
      <c r="F179">
        <f>wyniki!$A$210</f>
        <v>0</v>
      </c>
      <c r="G179" s="56">
        <f t="shared" si="11"/>
        <v>0</v>
      </c>
      <c r="J179" s="79" t="e">
        <f t="shared" si="12"/>
        <v>#NUM!</v>
      </c>
      <c r="K179" s="61" t="e">
        <f>-LARGE($E$2:$E$241,178)</f>
        <v>#NUM!</v>
      </c>
      <c r="L179" s="59" t="e">
        <f t="shared" si="14"/>
        <v>#NUM!</v>
      </c>
      <c r="M179" s="90" t="e">
        <f t="shared" si="13"/>
        <v>#NUM!</v>
      </c>
      <c r="N179" s="37">
        <v>178</v>
      </c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</row>
    <row r="180" spans="2:39" ht="17.25" thickTop="1" thickBot="1">
      <c r="B180">
        <f>wyniki!B215</f>
        <v>0</v>
      </c>
      <c r="C180" s="56">
        <f>wyniki!C215</f>
        <v>0</v>
      </c>
      <c r="D180" s="18">
        <v>-1.7899999999999999E-3</v>
      </c>
      <c r="E180" s="56" t="b">
        <f t="shared" si="10"/>
        <v>0</v>
      </c>
      <c r="F180">
        <f>wyniki!$A$210</f>
        <v>0</v>
      </c>
      <c r="G180" s="56">
        <f t="shared" si="11"/>
        <v>0</v>
      </c>
      <c r="J180" s="79" t="e">
        <f t="shared" si="12"/>
        <v>#NUM!</v>
      </c>
      <c r="K180" s="61" t="e">
        <f>-LARGE($E$2:$E$241,179)</f>
        <v>#NUM!</v>
      </c>
      <c r="L180" s="59" t="e">
        <f t="shared" si="14"/>
        <v>#NUM!</v>
      </c>
      <c r="M180" s="90" t="e">
        <f t="shared" si="13"/>
        <v>#NUM!</v>
      </c>
      <c r="N180" s="37">
        <v>179</v>
      </c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</row>
    <row r="181" spans="2:39" ht="17.25" thickTop="1" thickBot="1">
      <c r="B181">
        <f>wyniki!B216</f>
        <v>0</v>
      </c>
      <c r="C181" s="56">
        <f>wyniki!C216</f>
        <v>0</v>
      </c>
      <c r="D181" s="18">
        <v>-1.8E-3</v>
      </c>
      <c r="E181" s="56" t="b">
        <f t="shared" si="10"/>
        <v>0</v>
      </c>
      <c r="F181">
        <f>wyniki!$A$210</f>
        <v>0</v>
      </c>
      <c r="G181" s="56">
        <f t="shared" si="11"/>
        <v>0</v>
      </c>
      <c r="J181" s="79" t="e">
        <f t="shared" si="12"/>
        <v>#NUM!</v>
      </c>
      <c r="K181" s="61" t="e">
        <f>-LARGE($E$2:$E$241,180)</f>
        <v>#NUM!</v>
      </c>
      <c r="L181" s="59" t="e">
        <f t="shared" si="14"/>
        <v>#NUM!</v>
      </c>
      <c r="M181" s="90" t="e">
        <f t="shared" si="13"/>
        <v>#NUM!</v>
      </c>
      <c r="N181" s="37">
        <v>180</v>
      </c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</row>
    <row r="182" spans="2:39" ht="17.25" thickTop="1" thickBot="1">
      <c r="B182">
        <f>wyniki!B218</f>
        <v>0</v>
      </c>
      <c r="C182" s="56">
        <f>wyniki!C218</f>
        <v>0</v>
      </c>
      <c r="D182" s="18">
        <v>-1.81E-3</v>
      </c>
      <c r="E182" s="56" t="b">
        <f t="shared" si="10"/>
        <v>0</v>
      </c>
      <c r="F182">
        <f>wyniki!$A$217</f>
        <v>0</v>
      </c>
      <c r="G182" s="56">
        <f t="shared" si="11"/>
        <v>0</v>
      </c>
      <c r="J182" s="79" t="e">
        <f t="shared" si="12"/>
        <v>#NUM!</v>
      </c>
      <c r="K182" s="61" t="e">
        <f>-LARGE($E$2:$E$241,181)</f>
        <v>#NUM!</v>
      </c>
      <c r="L182" s="59" t="e">
        <f t="shared" si="14"/>
        <v>#NUM!</v>
      </c>
      <c r="M182" s="90" t="e">
        <f t="shared" si="13"/>
        <v>#NUM!</v>
      </c>
      <c r="N182" s="37">
        <v>181</v>
      </c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</row>
    <row r="183" spans="2:39" ht="17.25" thickTop="1" thickBot="1">
      <c r="B183">
        <f>wyniki!B219</f>
        <v>0</v>
      </c>
      <c r="C183" s="56">
        <f>wyniki!C219</f>
        <v>0</v>
      </c>
      <c r="D183" s="18">
        <v>-1.82E-3</v>
      </c>
      <c r="E183" s="56" t="b">
        <f t="shared" si="10"/>
        <v>0</v>
      </c>
      <c r="F183">
        <f>wyniki!$A$217</f>
        <v>0</v>
      </c>
      <c r="G183" s="56">
        <f t="shared" si="11"/>
        <v>0</v>
      </c>
      <c r="J183" s="79" t="e">
        <f t="shared" si="12"/>
        <v>#NUM!</v>
      </c>
      <c r="K183" s="61" t="e">
        <f>-LARGE($E$2:$E$241,182)</f>
        <v>#NUM!</v>
      </c>
      <c r="L183" s="59" t="e">
        <f t="shared" si="14"/>
        <v>#NUM!</v>
      </c>
      <c r="M183" s="90" t="e">
        <f t="shared" si="13"/>
        <v>#NUM!</v>
      </c>
      <c r="N183" s="37">
        <v>182</v>
      </c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</row>
    <row r="184" spans="2:39" ht="17.25" thickTop="1" thickBot="1">
      <c r="B184">
        <f>wyniki!B220</f>
        <v>0</v>
      </c>
      <c r="C184" s="56">
        <f>wyniki!C220</f>
        <v>0</v>
      </c>
      <c r="D184" s="18">
        <v>-1.83E-3</v>
      </c>
      <c r="E184" s="56" t="b">
        <f t="shared" si="10"/>
        <v>0</v>
      </c>
      <c r="F184">
        <f>wyniki!$A$217</f>
        <v>0</v>
      </c>
      <c r="G184" s="56">
        <f t="shared" si="11"/>
        <v>0</v>
      </c>
      <c r="J184" s="79" t="e">
        <f t="shared" si="12"/>
        <v>#NUM!</v>
      </c>
      <c r="K184" s="61" t="e">
        <f>-LARGE($E$2:$E$241,183)</f>
        <v>#NUM!</v>
      </c>
      <c r="L184" s="59" t="e">
        <f t="shared" si="14"/>
        <v>#NUM!</v>
      </c>
      <c r="M184" s="90" t="e">
        <f t="shared" si="13"/>
        <v>#NUM!</v>
      </c>
      <c r="N184" s="37">
        <v>183</v>
      </c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</row>
    <row r="185" spans="2:39" ht="17.25" thickTop="1" thickBot="1">
      <c r="B185">
        <f>wyniki!B221</f>
        <v>0</v>
      </c>
      <c r="C185" s="56">
        <f>wyniki!C221</f>
        <v>0</v>
      </c>
      <c r="D185" s="18">
        <v>-1.8400000000000001E-3</v>
      </c>
      <c r="E185" s="56" t="b">
        <f t="shared" si="10"/>
        <v>0</v>
      </c>
      <c r="F185">
        <f>wyniki!$A$217</f>
        <v>0</v>
      </c>
      <c r="G185" s="56">
        <f t="shared" si="11"/>
        <v>0</v>
      </c>
      <c r="J185" s="79" t="e">
        <f t="shared" si="12"/>
        <v>#NUM!</v>
      </c>
      <c r="K185" s="61" t="e">
        <f>-LARGE($E$2:$E$241,184)</f>
        <v>#NUM!</v>
      </c>
      <c r="L185" s="59" t="e">
        <f t="shared" si="14"/>
        <v>#NUM!</v>
      </c>
      <c r="M185" s="90" t="e">
        <f t="shared" si="13"/>
        <v>#NUM!</v>
      </c>
      <c r="N185" s="37">
        <v>184</v>
      </c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</row>
    <row r="186" spans="2:39" ht="17.25" thickTop="1" thickBot="1">
      <c r="B186">
        <f>wyniki!B222</f>
        <v>0</v>
      </c>
      <c r="C186" s="56">
        <f>wyniki!C222</f>
        <v>0</v>
      </c>
      <c r="D186" s="18">
        <v>-1.8500000000000001E-3</v>
      </c>
      <c r="E186" s="56" t="b">
        <f t="shared" si="10"/>
        <v>0</v>
      </c>
      <c r="F186">
        <f>wyniki!$A$217</f>
        <v>0</v>
      </c>
      <c r="G186" s="56">
        <f t="shared" si="11"/>
        <v>0</v>
      </c>
      <c r="J186" s="79" t="e">
        <f t="shared" si="12"/>
        <v>#NUM!</v>
      </c>
      <c r="K186" s="61" t="e">
        <f>-LARGE($E$2:$E$241,185)</f>
        <v>#NUM!</v>
      </c>
      <c r="L186" s="59" t="e">
        <f t="shared" si="14"/>
        <v>#NUM!</v>
      </c>
      <c r="M186" s="90" t="e">
        <f t="shared" si="13"/>
        <v>#NUM!</v>
      </c>
      <c r="N186" s="37">
        <v>185</v>
      </c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</row>
    <row r="187" spans="2:39" ht="17.25" thickTop="1" thickBot="1">
      <c r="B187">
        <f>wyniki!B223</f>
        <v>0</v>
      </c>
      <c r="C187" s="56">
        <f>wyniki!C223</f>
        <v>0</v>
      </c>
      <c r="D187" s="18">
        <v>-1.8600000000000001E-3</v>
      </c>
      <c r="E187" s="56" t="b">
        <f t="shared" si="10"/>
        <v>0</v>
      </c>
      <c r="F187">
        <f>wyniki!$A$217</f>
        <v>0</v>
      </c>
      <c r="G187" s="56">
        <f t="shared" si="11"/>
        <v>0</v>
      </c>
      <c r="J187" s="79" t="e">
        <f t="shared" si="12"/>
        <v>#NUM!</v>
      </c>
      <c r="K187" s="61" t="e">
        <f>-LARGE($E$2:$E$241,186)</f>
        <v>#NUM!</v>
      </c>
      <c r="L187" s="59" t="e">
        <f t="shared" si="14"/>
        <v>#NUM!</v>
      </c>
      <c r="M187" s="90" t="e">
        <f t="shared" si="13"/>
        <v>#NUM!</v>
      </c>
      <c r="N187" s="37">
        <v>186</v>
      </c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</row>
    <row r="188" spans="2:39" ht="17.25" thickTop="1" thickBot="1">
      <c r="B188">
        <f>wyniki!B225</f>
        <v>0</v>
      </c>
      <c r="C188" s="56">
        <f>wyniki!C225</f>
        <v>0</v>
      </c>
      <c r="D188" s="18">
        <v>-1.8699999999999999E-3</v>
      </c>
      <c r="E188" s="56" t="b">
        <f t="shared" si="10"/>
        <v>0</v>
      </c>
      <c r="F188">
        <f>wyniki!$A$224</f>
        <v>0</v>
      </c>
      <c r="G188" s="56">
        <f t="shared" si="11"/>
        <v>0</v>
      </c>
      <c r="J188" s="79" t="e">
        <f t="shared" si="12"/>
        <v>#NUM!</v>
      </c>
      <c r="K188" s="61" t="e">
        <f>-LARGE($E$2:$E$241,187)</f>
        <v>#NUM!</v>
      </c>
      <c r="L188" s="59" t="e">
        <f t="shared" si="14"/>
        <v>#NUM!</v>
      </c>
      <c r="M188" s="90" t="e">
        <f t="shared" si="13"/>
        <v>#NUM!</v>
      </c>
      <c r="N188" s="37">
        <v>187</v>
      </c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</row>
    <row r="189" spans="2:39" ht="17.25" thickTop="1" thickBot="1">
      <c r="B189">
        <f>wyniki!B226</f>
        <v>0</v>
      </c>
      <c r="C189" s="56">
        <f>wyniki!C226</f>
        <v>0</v>
      </c>
      <c r="D189" s="18">
        <v>-1.8799999999999999E-3</v>
      </c>
      <c r="E189" s="56" t="b">
        <f t="shared" si="10"/>
        <v>0</v>
      </c>
      <c r="F189">
        <f>wyniki!$A$224</f>
        <v>0</v>
      </c>
      <c r="G189" s="56">
        <f t="shared" si="11"/>
        <v>0</v>
      </c>
      <c r="J189" s="79" t="e">
        <f t="shared" si="12"/>
        <v>#NUM!</v>
      </c>
      <c r="K189" s="61" t="e">
        <f>-LARGE($E$2:$E$241,188)</f>
        <v>#NUM!</v>
      </c>
      <c r="L189" s="59" t="e">
        <f t="shared" si="14"/>
        <v>#NUM!</v>
      </c>
      <c r="M189" s="90" t="e">
        <f t="shared" si="13"/>
        <v>#NUM!</v>
      </c>
      <c r="N189" s="37">
        <v>188</v>
      </c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</row>
    <row r="190" spans="2:39" ht="17.25" thickTop="1" thickBot="1">
      <c r="B190">
        <f>wyniki!B227</f>
        <v>0</v>
      </c>
      <c r="C190" s="56">
        <f>wyniki!C227</f>
        <v>0</v>
      </c>
      <c r="D190" s="18">
        <v>-1.89E-3</v>
      </c>
      <c r="E190" s="56" t="b">
        <f t="shared" si="10"/>
        <v>0</v>
      </c>
      <c r="F190">
        <f>wyniki!$A$224</f>
        <v>0</v>
      </c>
      <c r="G190" s="56">
        <f t="shared" si="11"/>
        <v>0</v>
      </c>
      <c r="J190" s="79" t="e">
        <f t="shared" si="12"/>
        <v>#NUM!</v>
      </c>
      <c r="K190" s="61" t="e">
        <f>-LARGE($E$2:$E$241,189)</f>
        <v>#NUM!</v>
      </c>
      <c r="L190" s="59" t="e">
        <f t="shared" si="14"/>
        <v>#NUM!</v>
      </c>
      <c r="M190" s="90" t="e">
        <f t="shared" si="13"/>
        <v>#NUM!</v>
      </c>
      <c r="N190" s="37">
        <v>189</v>
      </c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</row>
    <row r="191" spans="2:39" ht="17.25" thickTop="1" thickBot="1">
      <c r="B191">
        <f>wyniki!B228</f>
        <v>0</v>
      </c>
      <c r="C191" s="56">
        <f>wyniki!C228</f>
        <v>0</v>
      </c>
      <c r="D191" s="18">
        <v>-1.9E-3</v>
      </c>
      <c r="E191" s="56" t="b">
        <f t="shared" si="10"/>
        <v>0</v>
      </c>
      <c r="F191">
        <f>wyniki!$A$224</f>
        <v>0</v>
      </c>
      <c r="G191" s="56">
        <f t="shared" si="11"/>
        <v>0</v>
      </c>
      <c r="J191" s="79" t="e">
        <f t="shared" si="12"/>
        <v>#NUM!</v>
      </c>
      <c r="K191" s="61" t="e">
        <f>-LARGE($E$2:$E$241,190)</f>
        <v>#NUM!</v>
      </c>
      <c r="L191" s="59" t="e">
        <f t="shared" si="14"/>
        <v>#NUM!</v>
      </c>
      <c r="M191" s="90" t="e">
        <f t="shared" si="13"/>
        <v>#NUM!</v>
      </c>
      <c r="N191" s="37">
        <v>190</v>
      </c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</row>
    <row r="192" spans="2:39" ht="17.25" thickTop="1" thickBot="1">
      <c r="B192">
        <f>wyniki!B229</f>
        <v>0</v>
      </c>
      <c r="C192" s="56">
        <f>wyniki!C229</f>
        <v>0</v>
      </c>
      <c r="D192" s="18">
        <v>-1.91E-3</v>
      </c>
      <c r="E192" s="56" t="b">
        <f t="shared" si="10"/>
        <v>0</v>
      </c>
      <c r="F192">
        <f>wyniki!$A$224</f>
        <v>0</v>
      </c>
      <c r="G192" s="56">
        <f t="shared" si="11"/>
        <v>0</v>
      </c>
      <c r="J192" s="79" t="e">
        <f t="shared" si="12"/>
        <v>#NUM!</v>
      </c>
      <c r="K192" s="61" t="e">
        <f>-LARGE($E$2:$E$241,191)</f>
        <v>#NUM!</v>
      </c>
      <c r="L192" s="59" t="e">
        <f t="shared" si="14"/>
        <v>#NUM!</v>
      </c>
      <c r="M192" s="90" t="e">
        <f t="shared" si="13"/>
        <v>#NUM!</v>
      </c>
      <c r="N192" s="37">
        <v>191</v>
      </c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</row>
    <row r="193" spans="2:39" ht="17.25" thickTop="1" thickBot="1">
      <c r="B193">
        <f>wyniki!B230</f>
        <v>0</v>
      </c>
      <c r="C193" s="56">
        <f>wyniki!C230</f>
        <v>0</v>
      </c>
      <c r="D193" s="18">
        <v>-1.92E-3</v>
      </c>
      <c r="E193" s="56" t="b">
        <f t="shared" si="10"/>
        <v>0</v>
      </c>
      <c r="F193">
        <f>wyniki!$A$224</f>
        <v>0</v>
      </c>
      <c r="G193" s="56">
        <f t="shared" si="11"/>
        <v>0</v>
      </c>
      <c r="J193" s="79" t="e">
        <f t="shared" si="12"/>
        <v>#NUM!</v>
      </c>
      <c r="K193" s="61" t="e">
        <f>-LARGE($E$2:$E$241,192)</f>
        <v>#NUM!</v>
      </c>
      <c r="L193" s="59" t="e">
        <f t="shared" si="14"/>
        <v>#NUM!</v>
      </c>
      <c r="M193" s="90" t="e">
        <f t="shared" si="13"/>
        <v>#NUM!</v>
      </c>
      <c r="N193" s="37">
        <v>192</v>
      </c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</row>
    <row r="194" spans="2:39" ht="17.25" thickTop="1" thickBot="1">
      <c r="B194">
        <f>wyniki!B232</f>
        <v>0</v>
      </c>
      <c r="C194" s="56">
        <f>wyniki!C232</f>
        <v>0</v>
      </c>
      <c r="D194" s="18">
        <v>-1.9300000000000001E-3</v>
      </c>
      <c r="E194" s="56" t="b">
        <f t="shared" si="10"/>
        <v>0</v>
      </c>
      <c r="F194">
        <f>wyniki!$A$231</f>
        <v>0</v>
      </c>
      <c r="G194" s="56">
        <f t="shared" si="11"/>
        <v>0</v>
      </c>
      <c r="J194" s="79" t="e">
        <f t="shared" si="12"/>
        <v>#NUM!</v>
      </c>
      <c r="K194" s="61" t="e">
        <f>-LARGE($E$2:$E$241,193)</f>
        <v>#NUM!</v>
      </c>
      <c r="L194" s="59" t="e">
        <f t="shared" si="14"/>
        <v>#NUM!</v>
      </c>
      <c r="M194" s="90" t="e">
        <f t="shared" si="13"/>
        <v>#NUM!</v>
      </c>
      <c r="N194" s="37">
        <v>193</v>
      </c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</row>
    <row r="195" spans="2:39" ht="17.25" thickTop="1" thickBot="1">
      <c r="B195">
        <f>wyniki!B233</f>
        <v>0</v>
      </c>
      <c r="C195" s="56">
        <f>wyniki!C233</f>
        <v>0</v>
      </c>
      <c r="D195" s="18">
        <v>-1.9400000000000001E-3</v>
      </c>
      <c r="E195" s="56" t="b">
        <f t="shared" ref="E195:E241" si="15">IF(C195&gt;1,G195+D195)</f>
        <v>0</v>
      </c>
      <c r="F195">
        <f>wyniki!$A$231</f>
        <v>0</v>
      </c>
      <c r="G195" s="56">
        <f t="shared" ref="G195:G241" si="16">-C195</f>
        <v>0</v>
      </c>
      <c r="J195" s="79" t="e">
        <f t="shared" ref="J195:J241" si="17">INDEX($B$2:$E$241,L195,1)</f>
        <v>#NUM!</v>
      </c>
      <c r="K195" s="61" t="e">
        <f>-LARGE($E$2:$E$241,194)</f>
        <v>#NUM!</v>
      </c>
      <c r="L195" s="59" t="e">
        <f t="shared" si="14"/>
        <v>#NUM!</v>
      </c>
      <c r="M195" s="90" t="e">
        <f t="shared" ref="M195:M241" si="18">INDEX($E$2:$F$241,L195,2)</f>
        <v>#NUM!</v>
      </c>
      <c r="N195" s="37">
        <v>194</v>
      </c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</row>
    <row r="196" spans="2:39" ht="17.25" thickTop="1" thickBot="1">
      <c r="B196">
        <f>wyniki!B234</f>
        <v>0</v>
      </c>
      <c r="C196" s="56">
        <f>wyniki!C234</f>
        <v>0</v>
      </c>
      <c r="D196" s="18">
        <v>-1.9499999999999999E-3</v>
      </c>
      <c r="E196" s="56" t="b">
        <f t="shared" si="15"/>
        <v>0</v>
      </c>
      <c r="F196">
        <f>wyniki!$A$231</f>
        <v>0</v>
      </c>
      <c r="G196" s="56">
        <f t="shared" si="16"/>
        <v>0</v>
      </c>
      <c r="J196" s="79" t="e">
        <f t="shared" si="17"/>
        <v>#NUM!</v>
      </c>
      <c r="K196" s="61" t="e">
        <f>-LARGE($E$2:$E$241,195)</f>
        <v>#NUM!</v>
      </c>
      <c r="L196" s="59" t="e">
        <f t="shared" ref="L196:L241" si="19">MATCH(-K196,$E$2:$E$241,0)</f>
        <v>#NUM!</v>
      </c>
      <c r="M196" s="90" t="e">
        <f t="shared" si="18"/>
        <v>#NUM!</v>
      </c>
      <c r="N196" s="37">
        <v>195</v>
      </c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</row>
    <row r="197" spans="2:39" ht="17.25" thickTop="1" thickBot="1">
      <c r="B197">
        <f>wyniki!B235</f>
        <v>0</v>
      </c>
      <c r="C197" s="56">
        <f>wyniki!C235</f>
        <v>0</v>
      </c>
      <c r="D197" s="18">
        <v>-1.9599999999999999E-3</v>
      </c>
      <c r="E197" s="56" t="b">
        <f t="shared" si="15"/>
        <v>0</v>
      </c>
      <c r="F197">
        <f>wyniki!$A$231</f>
        <v>0</v>
      </c>
      <c r="G197" s="56">
        <f t="shared" si="16"/>
        <v>0</v>
      </c>
      <c r="J197" s="79" t="e">
        <f t="shared" si="17"/>
        <v>#NUM!</v>
      </c>
      <c r="K197" s="61" t="e">
        <f>-LARGE($E$2:$E$241,196)</f>
        <v>#NUM!</v>
      </c>
      <c r="L197" s="59" t="e">
        <f t="shared" si="19"/>
        <v>#NUM!</v>
      </c>
      <c r="M197" s="90" t="e">
        <f t="shared" si="18"/>
        <v>#NUM!</v>
      </c>
      <c r="N197" s="37">
        <v>196</v>
      </c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</row>
    <row r="198" spans="2:39" ht="17.25" thickTop="1" thickBot="1">
      <c r="B198">
        <f>wyniki!B236</f>
        <v>0</v>
      </c>
      <c r="C198" s="56">
        <f>wyniki!C236</f>
        <v>0</v>
      </c>
      <c r="D198" s="18">
        <v>-1.97E-3</v>
      </c>
      <c r="E198" s="56" t="b">
        <f t="shared" si="15"/>
        <v>0</v>
      </c>
      <c r="F198">
        <f>wyniki!$A$231</f>
        <v>0</v>
      </c>
      <c r="G198" s="56">
        <f t="shared" si="16"/>
        <v>0</v>
      </c>
      <c r="J198" s="79" t="e">
        <f t="shared" si="17"/>
        <v>#NUM!</v>
      </c>
      <c r="K198" s="61" t="e">
        <f>-LARGE($E$2:$E$241,197)</f>
        <v>#NUM!</v>
      </c>
      <c r="L198" s="59" t="e">
        <f t="shared" si="19"/>
        <v>#NUM!</v>
      </c>
      <c r="M198" s="90" t="e">
        <f t="shared" si="18"/>
        <v>#NUM!</v>
      </c>
      <c r="N198" s="37">
        <v>197</v>
      </c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</row>
    <row r="199" spans="2:39" ht="17.25" thickTop="1" thickBot="1">
      <c r="B199">
        <f>wyniki!B237</f>
        <v>0</v>
      </c>
      <c r="C199" s="56">
        <f>wyniki!C237</f>
        <v>0</v>
      </c>
      <c r="D199" s="18">
        <v>-1.98E-3</v>
      </c>
      <c r="E199" s="56" t="b">
        <f t="shared" si="15"/>
        <v>0</v>
      </c>
      <c r="F199">
        <f>wyniki!$A$231</f>
        <v>0</v>
      </c>
      <c r="G199" s="56">
        <f t="shared" si="16"/>
        <v>0</v>
      </c>
      <c r="J199" s="79" t="e">
        <f t="shared" si="17"/>
        <v>#NUM!</v>
      </c>
      <c r="K199" s="61" t="e">
        <f>-LARGE($E$2:$E$241,198)</f>
        <v>#NUM!</v>
      </c>
      <c r="L199" s="59" t="e">
        <f t="shared" si="19"/>
        <v>#NUM!</v>
      </c>
      <c r="M199" s="90" t="e">
        <f t="shared" si="18"/>
        <v>#NUM!</v>
      </c>
      <c r="N199" s="37">
        <v>198</v>
      </c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</row>
    <row r="200" spans="2:39" ht="17.25" thickTop="1" thickBot="1">
      <c r="B200">
        <f>wyniki!B239</f>
        <v>0</v>
      </c>
      <c r="C200" s="56">
        <f>wyniki!C239</f>
        <v>0</v>
      </c>
      <c r="D200" s="18">
        <v>-1.99E-3</v>
      </c>
      <c r="E200" s="56" t="b">
        <f t="shared" si="15"/>
        <v>0</v>
      </c>
      <c r="F200">
        <f>wyniki!$A$238</f>
        <v>0</v>
      </c>
      <c r="G200" s="56">
        <f t="shared" si="16"/>
        <v>0</v>
      </c>
      <c r="J200" s="79" t="e">
        <f t="shared" si="17"/>
        <v>#NUM!</v>
      </c>
      <c r="K200" s="61" t="e">
        <f>-LARGE($E$2:$E$241,199)</f>
        <v>#NUM!</v>
      </c>
      <c r="L200" s="59" t="e">
        <f t="shared" si="19"/>
        <v>#NUM!</v>
      </c>
      <c r="M200" s="90" t="e">
        <f t="shared" si="18"/>
        <v>#NUM!</v>
      </c>
      <c r="N200" s="37">
        <v>199</v>
      </c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</row>
    <row r="201" spans="2:39" ht="17.25" thickTop="1" thickBot="1">
      <c r="B201">
        <f>wyniki!B240</f>
        <v>0</v>
      </c>
      <c r="C201" s="56">
        <f>wyniki!C240</f>
        <v>0</v>
      </c>
      <c r="D201" s="18">
        <v>-2E-3</v>
      </c>
      <c r="E201" s="56" t="b">
        <f t="shared" si="15"/>
        <v>0</v>
      </c>
      <c r="F201">
        <f>wyniki!$A$238</f>
        <v>0</v>
      </c>
      <c r="G201" s="56">
        <f t="shared" si="16"/>
        <v>0</v>
      </c>
      <c r="J201" s="79" t="e">
        <f t="shared" si="17"/>
        <v>#NUM!</v>
      </c>
      <c r="K201" s="61" t="e">
        <f>-LARGE($E$2:$E$241,200)</f>
        <v>#NUM!</v>
      </c>
      <c r="L201" s="59" t="e">
        <f t="shared" si="19"/>
        <v>#NUM!</v>
      </c>
      <c r="M201" s="90" t="e">
        <f t="shared" si="18"/>
        <v>#NUM!</v>
      </c>
      <c r="N201" s="37">
        <v>200</v>
      </c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</row>
    <row r="202" spans="2:39" ht="17.25" thickTop="1" thickBot="1">
      <c r="B202">
        <f>wyniki!B241</f>
        <v>0</v>
      </c>
      <c r="C202" s="56">
        <f>wyniki!C241</f>
        <v>0</v>
      </c>
      <c r="D202" s="18">
        <v>-2.0100000000000001E-3</v>
      </c>
      <c r="E202" s="56" t="b">
        <f t="shared" si="15"/>
        <v>0</v>
      </c>
      <c r="F202">
        <f>wyniki!$A$238</f>
        <v>0</v>
      </c>
      <c r="G202" s="56">
        <f t="shared" si="16"/>
        <v>0</v>
      </c>
      <c r="J202" s="79" t="e">
        <f t="shared" si="17"/>
        <v>#NUM!</v>
      </c>
      <c r="K202" s="61" t="e">
        <f>-LARGE($E$2:$E$241,201)</f>
        <v>#NUM!</v>
      </c>
      <c r="L202" s="59" t="e">
        <f t="shared" si="19"/>
        <v>#NUM!</v>
      </c>
      <c r="M202" s="90" t="e">
        <f t="shared" si="18"/>
        <v>#NUM!</v>
      </c>
      <c r="N202" s="37">
        <v>201</v>
      </c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</row>
    <row r="203" spans="2:39" ht="17.25" thickTop="1" thickBot="1">
      <c r="B203">
        <f>wyniki!B242</f>
        <v>0</v>
      </c>
      <c r="C203" s="56">
        <f>wyniki!C242</f>
        <v>0</v>
      </c>
      <c r="D203" s="18">
        <v>-2.0200000000000001E-3</v>
      </c>
      <c r="E203" s="56" t="b">
        <f t="shared" si="15"/>
        <v>0</v>
      </c>
      <c r="F203">
        <f>wyniki!$A$238</f>
        <v>0</v>
      </c>
      <c r="G203" s="56">
        <f t="shared" si="16"/>
        <v>0</v>
      </c>
      <c r="J203" s="79" t="e">
        <f t="shared" si="17"/>
        <v>#NUM!</v>
      </c>
      <c r="K203" s="61" t="e">
        <f>-LARGE($E$2:$E$241,202)</f>
        <v>#NUM!</v>
      </c>
      <c r="L203" s="59" t="e">
        <f t="shared" si="19"/>
        <v>#NUM!</v>
      </c>
      <c r="M203" s="90" t="e">
        <f t="shared" si="18"/>
        <v>#NUM!</v>
      </c>
      <c r="N203" s="37">
        <v>202</v>
      </c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</row>
    <row r="204" spans="2:39" ht="17.25" thickTop="1" thickBot="1">
      <c r="B204">
        <f>wyniki!B243</f>
        <v>0</v>
      </c>
      <c r="C204" s="56">
        <f>wyniki!C243</f>
        <v>0</v>
      </c>
      <c r="D204" s="18">
        <v>-2.0300000000000001E-3</v>
      </c>
      <c r="E204" s="56" t="b">
        <f t="shared" si="15"/>
        <v>0</v>
      </c>
      <c r="F204">
        <f>wyniki!$A$238</f>
        <v>0</v>
      </c>
      <c r="G204" s="56">
        <f t="shared" si="16"/>
        <v>0</v>
      </c>
      <c r="J204" s="79" t="e">
        <f t="shared" si="17"/>
        <v>#NUM!</v>
      </c>
      <c r="K204" s="61" t="e">
        <f>-LARGE($E$2:$E$241,203)</f>
        <v>#NUM!</v>
      </c>
      <c r="L204" s="59" t="e">
        <f t="shared" si="19"/>
        <v>#NUM!</v>
      </c>
      <c r="M204" s="90" t="e">
        <f t="shared" si="18"/>
        <v>#NUM!</v>
      </c>
      <c r="N204" s="37">
        <v>203</v>
      </c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</row>
    <row r="205" spans="2:39" ht="17.25" thickTop="1" thickBot="1">
      <c r="B205">
        <f>wyniki!B244</f>
        <v>0</v>
      </c>
      <c r="C205" s="56">
        <f>wyniki!C244</f>
        <v>0</v>
      </c>
      <c r="D205" s="18">
        <v>-2.0400000000000001E-3</v>
      </c>
      <c r="E205" s="56" t="b">
        <f t="shared" si="15"/>
        <v>0</v>
      </c>
      <c r="F205">
        <f>wyniki!$A$238</f>
        <v>0</v>
      </c>
      <c r="G205" s="56">
        <f t="shared" si="16"/>
        <v>0</v>
      </c>
      <c r="J205" s="79" t="e">
        <f t="shared" si="17"/>
        <v>#NUM!</v>
      </c>
      <c r="K205" s="61" t="e">
        <f>-LARGE($E$2:$E$241,204)</f>
        <v>#NUM!</v>
      </c>
      <c r="L205" s="59" t="e">
        <f t="shared" si="19"/>
        <v>#NUM!</v>
      </c>
      <c r="M205" s="90" t="e">
        <f t="shared" si="18"/>
        <v>#NUM!</v>
      </c>
      <c r="N205" s="37">
        <v>204</v>
      </c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</row>
    <row r="206" spans="2:39" ht="17.25" thickTop="1" thickBot="1">
      <c r="B206">
        <f>wyniki!B246</f>
        <v>0</v>
      </c>
      <c r="C206" s="56">
        <f>wyniki!C246</f>
        <v>0</v>
      </c>
      <c r="D206" s="18">
        <v>-2.0500000000000002E-3</v>
      </c>
      <c r="E206" s="56" t="b">
        <f t="shared" si="15"/>
        <v>0</v>
      </c>
      <c r="F206">
        <f>wyniki!$A$245</f>
        <v>0</v>
      </c>
      <c r="G206" s="56">
        <f t="shared" si="16"/>
        <v>0</v>
      </c>
      <c r="J206" s="79" t="e">
        <f t="shared" si="17"/>
        <v>#NUM!</v>
      </c>
      <c r="K206" s="61" t="e">
        <f>-LARGE($E$2:$E$241,205)</f>
        <v>#NUM!</v>
      </c>
      <c r="L206" s="59" t="e">
        <f t="shared" si="19"/>
        <v>#NUM!</v>
      </c>
      <c r="M206" s="90" t="e">
        <f t="shared" si="18"/>
        <v>#NUM!</v>
      </c>
      <c r="N206" s="37">
        <v>205</v>
      </c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</row>
    <row r="207" spans="2:39" ht="17.25" thickTop="1" thickBot="1">
      <c r="B207">
        <f>wyniki!B247</f>
        <v>0</v>
      </c>
      <c r="C207" s="56">
        <f>wyniki!C247</f>
        <v>0</v>
      </c>
      <c r="D207" s="18">
        <v>-2.0600000000000002E-3</v>
      </c>
      <c r="E207" s="56" t="b">
        <f t="shared" si="15"/>
        <v>0</v>
      </c>
      <c r="F207">
        <f>wyniki!$A$245</f>
        <v>0</v>
      </c>
      <c r="G207" s="56">
        <f t="shared" si="16"/>
        <v>0</v>
      </c>
      <c r="J207" s="79" t="e">
        <f t="shared" si="17"/>
        <v>#NUM!</v>
      </c>
      <c r="K207" s="61" t="e">
        <f>-LARGE($E$2:$E$241,206)</f>
        <v>#NUM!</v>
      </c>
      <c r="L207" s="59" t="e">
        <f t="shared" si="19"/>
        <v>#NUM!</v>
      </c>
      <c r="M207" s="90" t="e">
        <f t="shared" si="18"/>
        <v>#NUM!</v>
      </c>
      <c r="N207" s="37">
        <v>206</v>
      </c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</row>
    <row r="208" spans="2:39" ht="17.25" thickTop="1" thickBot="1">
      <c r="B208">
        <f>wyniki!B248</f>
        <v>0</v>
      </c>
      <c r="C208" s="56">
        <f>wyniki!C248</f>
        <v>0</v>
      </c>
      <c r="D208" s="18">
        <v>-2.0699999999999998E-3</v>
      </c>
      <c r="E208" s="56" t="b">
        <f t="shared" si="15"/>
        <v>0</v>
      </c>
      <c r="F208">
        <f>wyniki!$A$245</f>
        <v>0</v>
      </c>
      <c r="G208" s="56">
        <f t="shared" si="16"/>
        <v>0</v>
      </c>
      <c r="J208" s="79" t="e">
        <f t="shared" si="17"/>
        <v>#NUM!</v>
      </c>
      <c r="K208" s="61" t="e">
        <f>-LARGE($E$2:$E$241,207)</f>
        <v>#NUM!</v>
      </c>
      <c r="L208" s="59" t="e">
        <f t="shared" si="19"/>
        <v>#NUM!</v>
      </c>
      <c r="M208" s="90" t="e">
        <f t="shared" si="18"/>
        <v>#NUM!</v>
      </c>
      <c r="N208" s="37">
        <v>207</v>
      </c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</row>
    <row r="209" spans="2:39" ht="17.25" thickTop="1" thickBot="1">
      <c r="B209">
        <f>wyniki!B249</f>
        <v>0</v>
      </c>
      <c r="C209" s="56">
        <f>wyniki!C249</f>
        <v>0</v>
      </c>
      <c r="D209" s="18">
        <v>-2.0799999999999998E-3</v>
      </c>
      <c r="E209" s="56" t="b">
        <f t="shared" si="15"/>
        <v>0</v>
      </c>
      <c r="F209">
        <f>wyniki!$A$245</f>
        <v>0</v>
      </c>
      <c r="G209" s="56">
        <f t="shared" si="16"/>
        <v>0</v>
      </c>
      <c r="J209" s="79" t="e">
        <f t="shared" si="17"/>
        <v>#NUM!</v>
      </c>
      <c r="K209" s="61" t="e">
        <f>-LARGE($E$2:$E$241,208)</f>
        <v>#NUM!</v>
      </c>
      <c r="L209" s="59" t="e">
        <f t="shared" si="19"/>
        <v>#NUM!</v>
      </c>
      <c r="M209" s="90" t="e">
        <f t="shared" si="18"/>
        <v>#NUM!</v>
      </c>
      <c r="N209" s="37">
        <v>208</v>
      </c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</row>
    <row r="210" spans="2:39" ht="17.25" thickTop="1" thickBot="1">
      <c r="B210">
        <f>wyniki!B250</f>
        <v>0</v>
      </c>
      <c r="C210" s="56">
        <f>wyniki!C250</f>
        <v>0</v>
      </c>
      <c r="D210" s="18">
        <v>-2.0899999999999998E-3</v>
      </c>
      <c r="E210" s="56" t="b">
        <f t="shared" si="15"/>
        <v>0</v>
      </c>
      <c r="F210">
        <f>wyniki!$A$245</f>
        <v>0</v>
      </c>
      <c r="G210" s="56">
        <f t="shared" si="16"/>
        <v>0</v>
      </c>
      <c r="J210" s="79" t="e">
        <f t="shared" si="17"/>
        <v>#NUM!</v>
      </c>
      <c r="K210" s="61" t="e">
        <f>-LARGE($E$2:$E$241,209)</f>
        <v>#NUM!</v>
      </c>
      <c r="L210" s="59" t="e">
        <f t="shared" si="19"/>
        <v>#NUM!</v>
      </c>
      <c r="M210" s="90" t="e">
        <f t="shared" si="18"/>
        <v>#NUM!</v>
      </c>
      <c r="N210" s="37">
        <v>209</v>
      </c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</row>
    <row r="211" spans="2:39" ht="17.25" thickTop="1" thickBot="1">
      <c r="B211">
        <f>wyniki!B251</f>
        <v>0</v>
      </c>
      <c r="C211" s="56">
        <f>wyniki!C251</f>
        <v>0</v>
      </c>
      <c r="D211" s="18">
        <v>-2.0999999999999999E-3</v>
      </c>
      <c r="E211" s="56" t="b">
        <f t="shared" si="15"/>
        <v>0</v>
      </c>
      <c r="F211">
        <f>wyniki!$A$245</f>
        <v>0</v>
      </c>
      <c r="G211" s="56">
        <f t="shared" si="16"/>
        <v>0</v>
      </c>
      <c r="J211" s="79" t="e">
        <f t="shared" si="17"/>
        <v>#NUM!</v>
      </c>
      <c r="K211" s="61" t="e">
        <f>-LARGE($E$2:$E$241,210)</f>
        <v>#NUM!</v>
      </c>
      <c r="L211" s="59" t="e">
        <f t="shared" si="19"/>
        <v>#NUM!</v>
      </c>
      <c r="M211" s="90" t="e">
        <f t="shared" si="18"/>
        <v>#NUM!</v>
      </c>
      <c r="N211" s="37">
        <v>210</v>
      </c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</row>
    <row r="212" spans="2:39" ht="17.25" thickTop="1" thickBot="1">
      <c r="B212">
        <f>wyniki!B253</f>
        <v>0</v>
      </c>
      <c r="C212" s="56">
        <f>wyniki!C253</f>
        <v>0</v>
      </c>
      <c r="D212" s="18">
        <v>-2.1099999999999999E-3</v>
      </c>
      <c r="E212" s="56" t="b">
        <f t="shared" si="15"/>
        <v>0</v>
      </c>
      <c r="F212">
        <f>wyniki!$A$252</f>
        <v>0</v>
      </c>
      <c r="G212" s="56">
        <f t="shared" si="16"/>
        <v>0</v>
      </c>
      <c r="J212" s="79" t="e">
        <f t="shared" si="17"/>
        <v>#NUM!</v>
      </c>
      <c r="K212" s="61" t="e">
        <f>-LARGE($E$2:$E$241,211)</f>
        <v>#NUM!</v>
      </c>
      <c r="L212" s="59" t="e">
        <f t="shared" si="19"/>
        <v>#NUM!</v>
      </c>
      <c r="M212" s="90" t="e">
        <f t="shared" si="18"/>
        <v>#NUM!</v>
      </c>
      <c r="N212" s="37">
        <v>211</v>
      </c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</row>
    <row r="213" spans="2:39" ht="17.25" thickTop="1" thickBot="1">
      <c r="B213">
        <f>wyniki!B254</f>
        <v>0</v>
      </c>
      <c r="C213" s="56">
        <f>wyniki!C254</f>
        <v>0</v>
      </c>
      <c r="D213" s="18">
        <v>-2.1199999999999999E-3</v>
      </c>
      <c r="E213" s="56" t="b">
        <f t="shared" si="15"/>
        <v>0</v>
      </c>
      <c r="F213">
        <f>wyniki!$A$252</f>
        <v>0</v>
      </c>
      <c r="G213" s="56">
        <f t="shared" si="16"/>
        <v>0</v>
      </c>
      <c r="J213" s="79" t="e">
        <f t="shared" si="17"/>
        <v>#NUM!</v>
      </c>
      <c r="K213" s="61" t="e">
        <f>-LARGE($E$2:$E$241,212)</f>
        <v>#NUM!</v>
      </c>
      <c r="L213" s="59" t="e">
        <f t="shared" si="19"/>
        <v>#NUM!</v>
      </c>
      <c r="M213" s="90" t="e">
        <f t="shared" si="18"/>
        <v>#NUM!</v>
      </c>
      <c r="N213" s="37">
        <v>212</v>
      </c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</row>
    <row r="214" spans="2:39" ht="17.25" thickTop="1" thickBot="1">
      <c r="B214">
        <f>wyniki!B255</f>
        <v>0</v>
      </c>
      <c r="C214" s="56">
        <f>wyniki!C255</f>
        <v>0</v>
      </c>
      <c r="D214" s="18">
        <v>-2.1299999999999999E-3</v>
      </c>
      <c r="E214" s="56" t="b">
        <f t="shared" si="15"/>
        <v>0</v>
      </c>
      <c r="F214">
        <f>wyniki!$A$252</f>
        <v>0</v>
      </c>
      <c r="G214" s="56">
        <f t="shared" si="16"/>
        <v>0</v>
      </c>
      <c r="J214" s="79" t="e">
        <f t="shared" si="17"/>
        <v>#NUM!</v>
      </c>
      <c r="K214" s="61" t="e">
        <f>-LARGE($E$2:$E$241,213)</f>
        <v>#NUM!</v>
      </c>
      <c r="L214" s="59" t="e">
        <f t="shared" si="19"/>
        <v>#NUM!</v>
      </c>
      <c r="M214" s="90" t="e">
        <f t="shared" si="18"/>
        <v>#NUM!</v>
      </c>
      <c r="N214" s="37">
        <v>213</v>
      </c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</row>
    <row r="215" spans="2:39" ht="17.25" thickTop="1" thickBot="1">
      <c r="B215">
        <f>wyniki!B256</f>
        <v>0</v>
      </c>
      <c r="C215" s="56">
        <f>wyniki!C256</f>
        <v>0</v>
      </c>
      <c r="D215" s="18">
        <v>-2.14E-3</v>
      </c>
      <c r="E215" s="56" t="b">
        <f t="shared" si="15"/>
        <v>0</v>
      </c>
      <c r="F215">
        <f>wyniki!$A$252</f>
        <v>0</v>
      </c>
      <c r="G215" s="56">
        <f t="shared" si="16"/>
        <v>0</v>
      </c>
      <c r="J215" s="79" t="e">
        <f t="shared" si="17"/>
        <v>#NUM!</v>
      </c>
      <c r="K215" s="61" t="e">
        <f>-LARGE($E$2:$E$241,214)</f>
        <v>#NUM!</v>
      </c>
      <c r="L215" s="59" t="e">
        <f t="shared" si="19"/>
        <v>#NUM!</v>
      </c>
      <c r="M215" s="90" t="e">
        <f t="shared" si="18"/>
        <v>#NUM!</v>
      </c>
      <c r="N215" s="37">
        <v>214</v>
      </c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</row>
    <row r="216" spans="2:39" ht="17.25" thickTop="1" thickBot="1">
      <c r="B216">
        <f>wyniki!B257</f>
        <v>0</v>
      </c>
      <c r="C216" s="56">
        <f>wyniki!C257</f>
        <v>0</v>
      </c>
      <c r="D216" s="18">
        <v>-2.15E-3</v>
      </c>
      <c r="E216" s="56" t="b">
        <f t="shared" si="15"/>
        <v>0</v>
      </c>
      <c r="F216">
        <f>wyniki!$A$252</f>
        <v>0</v>
      </c>
      <c r="G216" s="56">
        <f t="shared" si="16"/>
        <v>0</v>
      </c>
      <c r="J216" s="79" t="e">
        <f t="shared" si="17"/>
        <v>#NUM!</v>
      </c>
      <c r="K216" s="61" t="e">
        <f>-LARGE($E$2:$E$241,215)</f>
        <v>#NUM!</v>
      </c>
      <c r="L216" s="59" t="e">
        <f t="shared" si="19"/>
        <v>#NUM!</v>
      </c>
      <c r="M216" s="90" t="e">
        <f t="shared" si="18"/>
        <v>#NUM!</v>
      </c>
      <c r="N216" s="37">
        <v>215</v>
      </c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</row>
    <row r="217" spans="2:39" ht="17.25" thickTop="1" thickBot="1">
      <c r="B217">
        <f>wyniki!B258</f>
        <v>0</v>
      </c>
      <c r="C217" s="56">
        <f>wyniki!C258</f>
        <v>0</v>
      </c>
      <c r="D217" s="18">
        <v>-2.16E-3</v>
      </c>
      <c r="E217" s="56" t="b">
        <f t="shared" si="15"/>
        <v>0</v>
      </c>
      <c r="F217">
        <f>wyniki!$A$252</f>
        <v>0</v>
      </c>
      <c r="G217" s="56">
        <f t="shared" si="16"/>
        <v>0</v>
      </c>
      <c r="J217" s="79" t="e">
        <f t="shared" si="17"/>
        <v>#NUM!</v>
      </c>
      <c r="K217" s="61" t="e">
        <f>-LARGE($E$2:$E$241,216)</f>
        <v>#NUM!</v>
      </c>
      <c r="L217" s="59" t="e">
        <f t="shared" si="19"/>
        <v>#NUM!</v>
      </c>
      <c r="M217" s="90" t="e">
        <f t="shared" si="18"/>
        <v>#NUM!</v>
      </c>
      <c r="N217" s="37">
        <v>216</v>
      </c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</row>
    <row r="218" spans="2:39" ht="17.25" thickTop="1" thickBot="1">
      <c r="B218">
        <f>wyniki!B260</f>
        <v>0</v>
      </c>
      <c r="C218" s="56">
        <f>wyniki!C260</f>
        <v>0</v>
      </c>
      <c r="D218" s="18">
        <v>-2.1700000000000001E-3</v>
      </c>
      <c r="E218" s="56" t="b">
        <f t="shared" si="15"/>
        <v>0</v>
      </c>
      <c r="F218">
        <f>wyniki!$A$259</f>
        <v>0</v>
      </c>
      <c r="G218" s="56">
        <f t="shared" si="16"/>
        <v>0</v>
      </c>
      <c r="J218" s="79" t="e">
        <f t="shared" si="17"/>
        <v>#NUM!</v>
      </c>
      <c r="K218" s="61" t="e">
        <f>-LARGE($E$2:$E$241,217)</f>
        <v>#NUM!</v>
      </c>
      <c r="L218" s="59" t="e">
        <f t="shared" si="19"/>
        <v>#NUM!</v>
      </c>
      <c r="M218" s="90" t="e">
        <f t="shared" si="18"/>
        <v>#NUM!</v>
      </c>
      <c r="N218" s="37">
        <v>217</v>
      </c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</row>
    <row r="219" spans="2:39" ht="17.25" thickTop="1" thickBot="1">
      <c r="B219">
        <f>wyniki!B261</f>
        <v>0</v>
      </c>
      <c r="C219" s="56">
        <f>wyniki!C261</f>
        <v>0</v>
      </c>
      <c r="D219" s="18">
        <v>-2.1800000000000001E-3</v>
      </c>
      <c r="E219" s="56" t="b">
        <f t="shared" si="15"/>
        <v>0</v>
      </c>
      <c r="F219">
        <f>wyniki!$A$259</f>
        <v>0</v>
      </c>
      <c r="G219" s="56">
        <f t="shared" si="16"/>
        <v>0</v>
      </c>
      <c r="J219" s="79" t="e">
        <f t="shared" si="17"/>
        <v>#NUM!</v>
      </c>
      <c r="K219" s="61" t="e">
        <f>-LARGE($E$2:$E$241,218)</f>
        <v>#NUM!</v>
      </c>
      <c r="L219" s="59" t="e">
        <f t="shared" si="19"/>
        <v>#NUM!</v>
      </c>
      <c r="M219" s="90" t="e">
        <f t="shared" si="18"/>
        <v>#NUM!</v>
      </c>
      <c r="N219" s="37">
        <v>218</v>
      </c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</row>
    <row r="220" spans="2:39" ht="17.25" thickTop="1" thickBot="1">
      <c r="B220">
        <f>wyniki!B262</f>
        <v>0</v>
      </c>
      <c r="C220" s="56">
        <f>wyniki!C262</f>
        <v>0</v>
      </c>
      <c r="D220" s="18">
        <v>-2.1900000000000001E-3</v>
      </c>
      <c r="E220" s="56" t="b">
        <f t="shared" si="15"/>
        <v>0</v>
      </c>
      <c r="F220">
        <f>wyniki!$A$259</f>
        <v>0</v>
      </c>
      <c r="G220" s="56">
        <f t="shared" si="16"/>
        <v>0</v>
      </c>
      <c r="J220" s="79" t="e">
        <f t="shared" si="17"/>
        <v>#NUM!</v>
      </c>
      <c r="K220" s="61" t="e">
        <f>-LARGE($E$2:$E$241,219)</f>
        <v>#NUM!</v>
      </c>
      <c r="L220" s="59" t="e">
        <f t="shared" si="19"/>
        <v>#NUM!</v>
      </c>
      <c r="M220" s="90" t="e">
        <f t="shared" si="18"/>
        <v>#NUM!</v>
      </c>
      <c r="N220" s="37">
        <v>219</v>
      </c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</row>
    <row r="221" spans="2:39" ht="17.25" thickTop="1" thickBot="1">
      <c r="B221">
        <f>wyniki!B263</f>
        <v>0</v>
      </c>
      <c r="C221" s="56">
        <f>wyniki!C263</f>
        <v>0</v>
      </c>
      <c r="D221" s="18">
        <v>-2.2000000000000001E-3</v>
      </c>
      <c r="E221" s="56" t="b">
        <f t="shared" si="15"/>
        <v>0</v>
      </c>
      <c r="F221">
        <f>wyniki!$A$259</f>
        <v>0</v>
      </c>
      <c r="G221" s="56">
        <f t="shared" si="16"/>
        <v>0</v>
      </c>
      <c r="J221" s="79" t="e">
        <f t="shared" si="17"/>
        <v>#NUM!</v>
      </c>
      <c r="K221" s="61" t="e">
        <f>-LARGE($E$2:$E$241,220)</f>
        <v>#NUM!</v>
      </c>
      <c r="L221" s="59" t="e">
        <f t="shared" si="19"/>
        <v>#NUM!</v>
      </c>
      <c r="M221" s="90" t="e">
        <f t="shared" si="18"/>
        <v>#NUM!</v>
      </c>
      <c r="N221" s="37">
        <v>220</v>
      </c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</row>
    <row r="222" spans="2:39" ht="17.25" thickTop="1" thickBot="1">
      <c r="B222">
        <f>wyniki!B264</f>
        <v>0</v>
      </c>
      <c r="C222" s="56">
        <f>wyniki!C264</f>
        <v>0</v>
      </c>
      <c r="D222" s="18">
        <v>-2.2100000000000002E-3</v>
      </c>
      <c r="E222" s="56" t="b">
        <f t="shared" si="15"/>
        <v>0</v>
      </c>
      <c r="F222">
        <f>wyniki!$A$259</f>
        <v>0</v>
      </c>
      <c r="G222" s="56">
        <f t="shared" si="16"/>
        <v>0</v>
      </c>
      <c r="J222" s="79" t="e">
        <f t="shared" si="17"/>
        <v>#NUM!</v>
      </c>
      <c r="K222" s="61" t="e">
        <f>-LARGE($E$2:$E$241,221)</f>
        <v>#NUM!</v>
      </c>
      <c r="L222" s="59" t="e">
        <f t="shared" si="19"/>
        <v>#NUM!</v>
      </c>
      <c r="M222" s="90" t="e">
        <f t="shared" si="18"/>
        <v>#NUM!</v>
      </c>
      <c r="N222" s="37">
        <v>221</v>
      </c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</row>
    <row r="223" spans="2:39" ht="17.25" thickTop="1" thickBot="1">
      <c r="B223">
        <f>wyniki!B265</f>
        <v>0</v>
      </c>
      <c r="C223" s="56">
        <f>wyniki!C265</f>
        <v>0</v>
      </c>
      <c r="D223" s="18">
        <v>-2.2200000000000002E-3</v>
      </c>
      <c r="E223" s="56" t="b">
        <f t="shared" si="15"/>
        <v>0</v>
      </c>
      <c r="F223">
        <f>wyniki!$A$259</f>
        <v>0</v>
      </c>
      <c r="G223" s="56">
        <f t="shared" si="16"/>
        <v>0</v>
      </c>
      <c r="J223" s="79" t="e">
        <f t="shared" si="17"/>
        <v>#NUM!</v>
      </c>
      <c r="K223" s="61" t="e">
        <f>-LARGE($E$2:$E$241,222)</f>
        <v>#NUM!</v>
      </c>
      <c r="L223" s="59" t="e">
        <f t="shared" si="19"/>
        <v>#NUM!</v>
      </c>
      <c r="M223" s="90" t="e">
        <f t="shared" si="18"/>
        <v>#NUM!</v>
      </c>
      <c r="N223" s="37">
        <v>222</v>
      </c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</row>
    <row r="224" spans="2:39" ht="17.25" thickTop="1" thickBot="1">
      <c r="B224">
        <f>wyniki!B267</f>
        <v>0</v>
      </c>
      <c r="C224" s="56">
        <f>wyniki!C267</f>
        <v>0</v>
      </c>
      <c r="D224" s="18">
        <v>-2.2300000000000002E-3</v>
      </c>
      <c r="E224" s="56" t="b">
        <f t="shared" si="15"/>
        <v>0</v>
      </c>
      <c r="F224">
        <f>wyniki!$A$266</f>
        <v>0</v>
      </c>
      <c r="G224" s="56">
        <f t="shared" si="16"/>
        <v>0</v>
      </c>
      <c r="J224" s="79" t="e">
        <f t="shared" si="17"/>
        <v>#NUM!</v>
      </c>
      <c r="K224" s="61" t="e">
        <f>-LARGE($E$2:$E$241,223)</f>
        <v>#NUM!</v>
      </c>
      <c r="L224" s="59" t="e">
        <f t="shared" si="19"/>
        <v>#NUM!</v>
      </c>
      <c r="M224" s="90" t="e">
        <f t="shared" si="18"/>
        <v>#NUM!</v>
      </c>
      <c r="N224" s="37">
        <v>223</v>
      </c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</row>
    <row r="225" spans="2:39" ht="17.25" thickTop="1" thickBot="1">
      <c r="B225">
        <f>wyniki!B268</f>
        <v>0</v>
      </c>
      <c r="C225" s="56">
        <f>wyniki!C268</f>
        <v>0</v>
      </c>
      <c r="D225" s="18">
        <v>-2.2399999999999998E-3</v>
      </c>
      <c r="E225" s="56" t="b">
        <f t="shared" si="15"/>
        <v>0</v>
      </c>
      <c r="F225">
        <f>wyniki!$A$266</f>
        <v>0</v>
      </c>
      <c r="G225" s="56">
        <f t="shared" si="16"/>
        <v>0</v>
      </c>
      <c r="J225" s="79" t="e">
        <f t="shared" si="17"/>
        <v>#NUM!</v>
      </c>
      <c r="K225" s="61" t="e">
        <f>-LARGE($E$2:$E$241,224)</f>
        <v>#NUM!</v>
      </c>
      <c r="L225" s="59" t="e">
        <f t="shared" si="19"/>
        <v>#NUM!</v>
      </c>
      <c r="M225" s="90" t="e">
        <f t="shared" si="18"/>
        <v>#NUM!</v>
      </c>
      <c r="N225" s="37">
        <v>224</v>
      </c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</row>
    <row r="226" spans="2:39" ht="17.25" thickTop="1" thickBot="1">
      <c r="B226">
        <f>wyniki!B269</f>
        <v>0</v>
      </c>
      <c r="C226" s="56">
        <f>wyniki!C269</f>
        <v>0</v>
      </c>
      <c r="D226" s="18">
        <v>-2.2499999999999998E-3</v>
      </c>
      <c r="E226" s="56" t="b">
        <f t="shared" si="15"/>
        <v>0</v>
      </c>
      <c r="F226">
        <f>wyniki!$A$266</f>
        <v>0</v>
      </c>
      <c r="G226" s="56">
        <f t="shared" si="16"/>
        <v>0</v>
      </c>
      <c r="J226" s="79" t="e">
        <f t="shared" si="17"/>
        <v>#NUM!</v>
      </c>
      <c r="K226" s="61" t="e">
        <f>-LARGE($E$2:$E$241,225)</f>
        <v>#NUM!</v>
      </c>
      <c r="L226" s="59" t="e">
        <f t="shared" si="19"/>
        <v>#NUM!</v>
      </c>
      <c r="M226" s="90" t="e">
        <f t="shared" si="18"/>
        <v>#NUM!</v>
      </c>
      <c r="N226" s="37">
        <v>225</v>
      </c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</row>
    <row r="227" spans="2:39" ht="17.25" thickTop="1" thickBot="1">
      <c r="B227">
        <f>wyniki!B270</f>
        <v>0</v>
      </c>
      <c r="C227" s="56">
        <f>wyniki!C270</f>
        <v>0</v>
      </c>
      <c r="D227" s="18">
        <v>-2.2599999999999999E-3</v>
      </c>
      <c r="E227" s="56" t="b">
        <f t="shared" si="15"/>
        <v>0</v>
      </c>
      <c r="F227">
        <f>wyniki!$A$266</f>
        <v>0</v>
      </c>
      <c r="G227" s="56">
        <f t="shared" si="16"/>
        <v>0</v>
      </c>
      <c r="J227" s="79" t="e">
        <f t="shared" si="17"/>
        <v>#NUM!</v>
      </c>
      <c r="K227" s="61" t="e">
        <f>-LARGE($E$2:$E$241,226)</f>
        <v>#NUM!</v>
      </c>
      <c r="L227" s="59" t="e">
        <f t="shared" si="19"/>
        <v>#NUM!</v>
      </c>
      <c r="M227" s="90" t="e">
        <f t="shared" si="18"/>
        <v>#NUM!</v>
      </c>
      <c r="N227" s="37">
        <v>226</v>
      </c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</row>
    <row r="228" spans="2:39" ht="17.25" thickTop="1" thickBot="1">
      <c r="B228">
        <f>wyniki!B271</f>
        <v>0</v>
      </c>
      <c r="C228" s="56">
        <f>wyniki!C271</f>
        <v>0</v>
      </c>
      <c r="D228" s="18">
        <v>-2.2699999999999999E-3</v>
      </c>
      <c r="E228" s="56" t="b">
        <f t="shared" si="15"/>
        <v>0</v>
      </c>
      <c r="F228">
        <f>wyniki!$A$266</f>
        <v>0</v>
      </c>
      <c r="G228" s="56">
        <f t="shared" si="16"/>
        <v>0</v>
      </c>
      <c r="J228" s="79" t="e">
        <f t="shared" si="17"/>
        <v>#NUM!</v>
      </c>
      <c r="K228" s="61" t="e">
        <f>-LARGE($E$2:$E$241,227)</f>
        <v>#NUM!</v>
      </c>
      <c r="L228" s="59" t="e">
        <f t="shared" si="19"/>
        <v>#NUM!</v>
      </c>
      <c r="M228" s="90" t="e">
        <f t="shared" si="18"/>
        <v>#NUM!</v>
      </c>
      <c r="N228" s="37">
        <v>227</v>
      </c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</row>
    <row r="229" spans="2:39" ht="17.25" thickTop="1" thickBot="1">
      <c r="B229">
        <f>wyniki!B272</f>
        <v>0</v>
      </c>
      <c r="C229" s="56">
        <f>wyniki!C272</f>
        <v>0</v>
      </c>
      <c r="D229" s="18">
        <v>-2.2799999999999999E-3</v>
      </c>
      <c r="E229" s="56" t="b">
        <f t="shared" si="15"/>
        <v>0</v>
      </c>
      <c r="F229">
        <f>wyniki!$A$266</f>
        <v>0</v>
      </c>
      <c r="G229" s="56">
        <f t="shared" si="16"/>
        <v>0</v>
      </c>
      <c r="J229" s="79" t="e">
        <f t="shared" si="17"/>
        <v>#NUM!</v>
      </c>
      <c r="K229" s="61" t="e">
        <f>-LARGE($E$2:$E$241,228)</f>
        <v>#NUM!</v>
      </c>
      <c r="L229" s="59" t="e">
        <f t="shared" si="19"/>
        <v>#NUM!</v>
      </c>
      <c r="M229" s="90" t="e">
        <f t="shared" si="18"/>
        <v>#NUM!</v>
      </c>
      <c r="N229" s="37">
        <v>228</v>
      </c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</row>
    <row r="230" spans="2:39" ht="17.25" thickTop="1" thickBot="1">
      <c r="B230">
        <f>wyniki!B274</f>
        <v>0</v>
      </c>
      <c r="C230" s="56">
        <f>wyniki!C274</f>
        <v>0</v>
      </c>
      <c r="D230" s="18">
        <v>-2.2899999999999999E-3</v>
      </c>
      <c r="E230" s="56" t="b">
        <f t="shared" si="15"/>
        <v>0</v>
      </c>
      <c r="F230">
        <f>wyniki!$A$273</f>
        <v>0</v>
      </c>
      <c r="G230" s="56">
        <f t="shared" si="16"/>
        <v>0</v>
      </c>
      <c r="J230" s="79" t="e">
        <f t="shared" si="17"/>
        <v>#NUM!</v>
      </c>
      <c r="K230" s="61" t="e">
        <f>-LARGE($E$2:$E$241,229)</f>
        <v>#NUM!</v>
      </c>
      <c r="L230" s="59" t="e">
        <f t="shared" si="19"/>
        <v>#NUM!</v>
      </c>
      <c r="M230" s="90" t="e">
        <f t="shared" si="18"/>
        <v>#NUM!</v>
      </c>
      <c r="N230" s="37">
        <v>229</v>
      </c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</row>
    <row r="231" spans="2:39" ht="17.25" thickTop="1" thickBot="1">
      <c r="B231">
        <f>wyniki!B275</f>
        <v>0</v>
      </c>
      <c r="C231" s="56">
        <f>wyniki!C275</f>
        <v>0</v>
      </c>
      <c r="D231" s="18">
        <v>-2.3E-3</v>
      </c>
      <c r="E231" s="56" t="b">
        <f t="shared" si="15"/>
        <v>0</v>
      </c>
      <c r="F231">
        <f>wyniki!$A$273</f>
        <v>0</v>
      </c>
      <c r="G231" s="56">
        <f t="shared" si="16"/>
        <v>0</v>
      </c>
      <c r="J231" s="79" t="e">
        <f t="shared" si="17"/>
        <v>#NUM!</v>
      </c>
      <c r="K231" s="61" t="e">
        <f>-LARGE($E$2:$E$241,230)</f>
        <v>#NUM!</v>
      </c>
      <c r="L231" s="59" t="e">
        <f t="shared" si="19"/>
        <v>#NUM!</v>
      </c>
      <c r="M231" s="90" t="e">
        <f t="shared" si="18"/>
        <v>#NUM!</v>
      </c>
      <c r="N231" s="37">
        <v>230</v>
      </c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</row>
    <row r="232" spans="2:39" ht="17.25" thickTop="1" thickBot="1">
      <c r="B232">
        <f>wyniki!B276</f>
        <v>0</v>
      </c>
      <c r="C232" s="56">
        <f>wyniki!C276</f>
        <v>0</v>
      </c>
      <c r="D232" s="18">
        <v>-2.31E-3</v>
      </c>
      <c r="E232" s="56" t="b">
        <f t="shared" si="15"/>
        <v>0</v>
      </c>
      <c r="F232">
        <f>wyniki!$A$273</f>
        <v>0</v>
      </c>
      <c r="G232" s="56">
        <f t="shared" si="16"/>
        <v>0</v>
      </c>
      <c r="J232" s="79" t="e">
        <f t="shared" si="17"/>
        <v>#NUM!</v>
      </c>
      <c r="K232" s="61" t="e">
        <f>-LARGE($E$2:$E$241,231)</f>
        <v>#NUM!</v>
      </c>
      <c r="L232" s="59" t="e">
        <f t="shared" si="19"/>
        <v>#NUM!</v>
      </c>
      <c r="M232" s="90" t="e">
        <f t="shared" si="18"/>
        <v>#NUM!</v>
      </c>
      <c r="N232" s="37">
        <v>231</v>
      </c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</row>
    <row r="233" spans="2:39" ht="17.25" thickTop="1" thickBot="1">
      <c r="B233">
        <f>wyniki!B277</f>
        <v>0</v>
      </c>
      <c r="C233" s="56">
        <f>wyniki!C277</f>
        <v>0</v>
      </c>
      <c r="D233" s="18">
        <v>-2.32E-3</v>
      </c>
      <c r="E233" s="56" t="b">
        <f t="shared" si="15"/>
        <v>0</v>
      </c>
      <c r="F233">
        <f>wyniki!$A$273</f>
        <v>0</v>
      </c>
      <c r="G233" s="56">
        <f t="shared" si="16"/>
        <v>0</v>
      </c>
      <c r="J233" s="79" t="e">
        <f t="shared" si="17"/>
        <v>#NUM!</v>
      </c>
      <c r="K233" s="61" t="e">
        <f>-LARGE($E$2:$E$241,232)</f>
        <v>#NUM!</v>
      </c>
      <c r="L233" s="59" t="e">
        <f t="shared" si="19"/>
        <v>#NUM!</v>
      </c>
      <c r="M233" s="90" t="e">
        <f t="shared" si="18"/>
        <v>#NUM!</v>
      </c>
      <c r="N233" s="37">
        <v>232</v>
      </c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</row>
    <row r="234" spans="2:39" ht="17.25" thickTop="1" thickBot="1">
      <c r="B234">
        <f>wyniki!B278</f>
        <v>0</v>
      </c>
      <c r="C234" s="56">
        <f>wyniki!C278</f>
        <v>0</v>
      </c>
      <c r="D234" s="18">
        <v>-2.33E-3</v>
      </c>
      <c r="E234" s="56" t="b">
        <f t="shared" si="15"/>
        <v>0</v>
      </c>
      <c r="F234">
        <f>wyniki!$A$273</f>
        <v>0</v>
      </c>
      <c r="G234" s="56">
        <f t="shared" si="16"/>
        <v>0</v>
      </c>
      <c r="J234" s="79" t="e">
        <f t="shared" si="17"/>
        <v>#NUM!</v>
      </c>
      <c r="K234" s="61" t="e">
        <f>-LARGE($E$2:$E$241,233)</f>
        <v>#NUM!</v>
      </c>
      <c r="L234" s="59" t="e">
        <f t="shared" si="19"/>
        <v>#NUM!</v>
      </c>
      <c r="M234" s="90" t="e">
        <f t="shared" si="18"/>
        <v>#NUM!</v>
      </c>
      <c r="N234" s="37">
        <v>233</v>
      </c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</row>
    <row r="235" spans="2:39" ht="17.25" thickTop="1" thickBot="1">
      <c r="B235">
        <f>wyniki!B279</f>
        <v>0</v>
      </c>
      <c r="C235" s="56">
        <f>wyniki!C279</f>
        <v>0</v>
      </c>
      <c r="D235" s="18">
        <v>-2.3400000000000001E-3</v>
      </c>
      <c r="E235" s="56" t="b">
        <f t="shared" si="15"/>
        <v>0</v>
      </c>
      <c r="F235">
        <f>wyniki!$A$273</f>
        <v>0</v>
      </c>
      <c r="G235" s="56">
        <f t="shared" si="16"/>
        <v>0</v>
      </c>
      <c r="J235" s="79" t="e">
        <f t="shared" si="17"/>
        <v>#NUM!</v>
      </c>
      <c r="K235" s="61" t="e">
        <f>-LARGE($E$2:$E$241,234)</f>
        <v>#NUM!</v>
      </c>
      <c r="L235" s="59" t="e">
        <f t="shared" si="19"/>
        <v>#NUM!</v>
      </c>
      <c r="M235" s="90" t="e">
        <f t="shared" si="18"/>
        <v>#NUM!</v>
      </c>
      <c r="N235" s="37">
        <v>234</v>
      </c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</row>
    <row r="236" spans="2:39" ht="17.25" thickTop="1" thickBot="1">
      <c r="B236">
        <f>wyniki!B281</f>
        <v>0</v>
      </c>
      <c r="C236" s="56">
        <f>wyniki!C281</f>
        <v>0</v>
      </c>
      <c r="D236" s="18">
        <v>-2.3500000000000001E-3</v>
      </c>
      <c r="E236" s="56" t="b">
        <f t="shared" si="15"/>
        <v>0</v>
      </c>
      <c r="F236">
        <f>wyniki!$A$280</f>
        <v>0</v>
      </c>
      <c r="G236" s="56">
        <f t="shared" si="16"/>
        <v>0</v>
      </c>
      <c r="J236" s="79" t="e">
        <f t="shared" si="17"/>
        <v>#NUM!</v>
      </c>
      <c r="K236" s="61" t="e">
        <f>-LARGE($E$2:$E$241,235)</f>
        <v>#NUM!</v>
      </c>
      <c r="L236" s="59" t="e">
        <f t="shared" si="19"/>
        <v>#NUM!</v>
      </c>
      <c r="M236" s="90" t="e">
        <f t="shared" si="18"/>
        <v>#NUM!</v>
      </c>
      <c r="N236" s="37">
        <v>235</v>
      </c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</row>
    <row r="237" spans="2:39" ht="17.25" thickTop="1" thickBot="1">
      <c r="B237">
        <f>wyniki!B282</f>
        <v>0</v>
      </c>
      <c r="C237" s="56">
        <f>wyniki!C282</f>
        <v>0</v>
      </c>
      <c r="D237" s="18">
        <v>-2.3600000000000001E-3</v>
      </c>
      <c r="E237" s="56" t="b">
        <f t="shared" si="15"/>
        <v>0</v>
      </c>
      <c r="F237">
        <f>wyniki!$A$280</f>
        <v>0</v>
      </c>
      <c r="G237" s="56">
        <f t="shared" si="16"/>
        <v>0</v>
      </c>
      <c r="J237" s="79" t="e">
        <f t="shared" si="17"/>
        <v>#NUM!</v>
      </c>
      <c r="K237" s="61" t="e">
        <f>-LARGE($E$2:$E$241,236)</f>
        <v>#NUM!</v>
      </c>
      <c r="L237" s="59" t="e">
        <f t="shared" si="19"/>
        <v>#NUM!</v>
      </c>
      <c r="M237" s="90" t="e">
        <f t="shared" si="18"/>
        <v>#NUM!</v>
      </c>
      <c r="N237" s="37">
        <v>236</v>
      </c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</row>
    <row r="238" spans="2:39" ht="17.25" thickTop="1" thickBot="1">
      <c r="B238">
        <f>wyniki!B283</f>
        <v>0</v>
      </c>
      <c r="C238" s="56">
        <f>wyniki!C283</f>
        <v>0</v>
      </c>
      <c r="D238" s="18">
        <v>-2.3700000000000001E-3</v>
      </c>
      <c r="E238" s="56" t="b">
        <f t="shared" si="15"/>
        <v>0</v>
      </c>
      <c r="F238">
        <f>wyniki!$A$280</f>
        <v>0</v>
      </c>
      <c r="G238" s="56">
        <f t="shared" si="16"/>
        <v>0</v>
      </c>
      <c r="J238" s="79" t="e">
        <f t="shared" si="17"/>
        <v>#NUM!</v>
      </c>
      <c r="K238" s="61" t="e">
        <f>-LARGE($E$2:$E$241,237)</f>
        <v>#NUM!</v>
      </c>
      <c r="L238" s="59" t="e">
        <f t="shared" si="19"/>
        <v>#NUM!</v>
      </c>
      <c r="M238" s="90" t="e">
        <f t="shared" si="18"/>
        <v>#NUM!</v>
      </c>
      <c r="N238" s="37">
        <v>237</v>
      </c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</row>
    <row r="239" spans="2:39" ht="17.25" thickTop="1" thickBot="1">
      <c r="B239">
        <f>wyniki!B284</f>
        <v>0</v>
      </c>
      <c r="C239" s="56">
        <f>wyniki!C284</f>
        <v>0</v>
      </c>
      <c r="D239" s="18">
        <v>-2.3800000000000002E-3</v>
      </c>
      <c r="E239" s="56" t="b">
        <f t="shared" si="15"/>
        <v>0</v>
      </c>
      <c r="F239">
        <f>wyniki!$A$280</f>
        <v>0</v>
      </c>
      <c r="G239" s="56">
        <f t="shared" si="16"/>
        <v>0</v>
      </c>
      <c r="J239" s="79" t="e">
        <f t="shared" si="17"/>
        <v>#NUM!</v>
      </c>
      <c r="K239" s="61" t="e">
        <f>-LARGE($E$2:$E$241,238)</f>
        <v>#NUM!</v>
      </c>
      <c r="L239" s="59" t="e">
        <f t="shared" si="19"/>
        <v>#NUM!</v>
      </c>
      <c r="M239" s="90" t="e">
        <f t="shared" si="18"/>
        <v>#NUM!</v>
      </c>
      <c r="N239" s="37">
        <v>238</v>
      </c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</row>
    <row r="240" spans="2:39" ht="17.25" thickTop="1" thickBot="1">
      <c r="B240">
        <f>wyniki!B285</f>
        <v>0</v>
      </c>
      <c r="C240" s="56">
        <f>wyniki!C285</f>
        <v>0</v>
      </c>
      <c r="D240" s="18">
        <v>-2.3900000000000002E-3</v>
      </c>
      <c r="E240" s="56" t="b">
        <f t="shared" si="15"/>
        <v>0</v>
      </c>
      <c r="F240">
        <f>wyniki!$A$280</f>
        <v>0</v>
      </c>
      <c r="G240" s="56">
        <f t="shared" si="16"/>
        <v>0</v>
      </c>
      <c r="J240" s="79" t="e">
        <f t="shared" si="17"/>
        <v>#NUM!</v>
      </c>
      <c r="K240" s="61" t="e">
        <f>-LARGE($E$2:$E$241,239)</f>
        <v>#NUM!</v>
      </c>
      <c r="L240" s="59" t="e">
        <f t="shared" si="19"/>
        <v>#NUM!</v>
      </c>
      <c r="M240" s="90" t="e">
        <f t="shared" si="18"/>
        <v>#NUM!</v>
      </c>
      <c r="N240" s="37">
        <v>239</v>
      </c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</row>
    <row r="241" spans="2:39" ht="17.25" thickTop="1" thickBot="1">
      <c r="B241">
        <f>wyniki!B286</f>
        <v>0</v>
      </c>
      <c r="C241" s="56">
        <f>wyniki!C286</f>
        <v>0</v>
      </c>
      <c r="D241" s="18">
        <v>-2.3999999999999998E-3</v>
      </c>
      <c r="E241" s="56" t="b">
        <f t="shared" si="15"/>
        <v>0</v>
      </c>
      <c r="F241">
        <f>wyniki!$A$280</f>
        <v>0</v>
      </c>
      <c r="G241" s="56">
        <f t="shared" si="16"/>
        <v>0</v>
      </c>
      <c r="J241" s="79" t="e">
        <f t="shared" si="17"/>
        <v>#NUM!</v>
      </c>
      <c r="K241" s="61" t="e">
        <f>-LARGE($E$2:$E$241,240)</f>
        <v>#NUM!</v>
      </c>
      <c r="L241" s="59" t="e">
        <f t="shared" si="19"/>
        <v>#NUM!</v>
      </c>
      <c r="M241" s="90" t="e">
        <f t="shared" si="18"/>
        <v>#NUM!</v>
      </c>
      <c r="N241" s="37">
        <v>240</v>
      </c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</row>
    <row r="242" spans="2:39" ht="15.75" thickTop="1"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</row>
    <row r="243" spans="2:39"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</row>
    <row r="244" spans="2:39"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</row>
    <row r="245" spans="2:39"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</row>
    <row r="246" spans="2:39"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</row>
    <row r="247" spans="2:39"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</row>
    <row r="248" spans="2:39"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</row>
    <row r="249" spans="2:39"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</row>
    <row r="250" spans="2:39"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</row>
    <row r="251" spans="2:39"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</row>
    <row r="252" spans="2:39"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</row>
    <row r="253" spans="2:39"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</row>
    <row r="254" spans="2:39"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</row>
    <row r="255" spans="2:39"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</row>
    <row r="256" spans="2:39"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</row>
    <row r="257" spans="15:39"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</row>
    <row r="258" spans="15:39"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</row>
    <row r="259" spans="15:39"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</row>
    <row r="260" spans="15:39"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</row>
    <row r="261" spans="15:39"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</row>
    <row r="262" spans="15:39"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</row>
    <row r="263" spans="15:39"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</row>
    <row r="264" spans="15:39"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</row>
    <row r="265" spans="15:39"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</row>
    <row r="266" spans="15:39"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</row>
    <row r="267" spans="15:39"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</row>
    <row r="268" spans="15:39"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</row>
    <row r="269" spans="15:39"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</row>
    <row r="270" spans="15:39"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</row>
    <row r="271" spans="15:39"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</row>
    <row r="272" spans="15:39"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</row>
    <row r="273" spans="15:39"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</row>
    <row r="274" spans="15:39"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</row>
    <row r="275" spans="15:39"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</row>
    <row r="276" spans="15:39"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</row>
    <row r="277" spans="15:39"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</row>
    <row r="278" spans="15:39"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</row>
    <row r="279" spans="15:39"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</row>
    <row r="280" spans="15:39"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</row>
    <row r="281" spans="15:39"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</row>
    <row r="282" spans="15:39"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</row>
    <row r="283" spans="15:39"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</row>
    <row r="284" spans="15:39"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</row>
    <row r="285" spans="15:39"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</row>
    <row r="286" spans="15:39"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</row>
    <row r="287" spans="15:39"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</row>
    <row r="288" spans="15:39"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</row>
    <row r="289" spans="15:39"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</row>
    <row r="290" spans="15:39"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</row>
    <row r="291" spans="15:39"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</row>
    <row r="292" spans="15:39"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</row>
    <row r="293" spans="15:39"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</row>
    <row r="294" spans="15:39"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</row>
    <row r="295" spans="15:39"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</row>
    <row r="296" spans="15:39"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</row>
    <row r="297" spans="15:39"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</row>
    <row r="298" spans="15:39"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</row>
    <row r="299" spans="15:39"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</row>
    <row r="300" spans="15:39"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</row>
    <row r="301" spans="15:39"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</row>
    <row r="302" spans="15:39"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</row>
    <row r="303" spans="15:39"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</row>
    <row r="304" spans="15:39"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</row>
    <row r="305" spans="15:39"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</row>
    <row r="306" spans="15:39"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</row>
    <row r="307" spans="15:39"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</row>
    <row r="308" spans="15:39"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</row>
    <row r="309" spans="15:39"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</row>
    <row r="310" spans="15:39"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</row>
    <row r="311" spans="15:39"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</row>
    <row r="312" spans="15:39"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</row>
    <row r="313" spans="15:39"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</row>
    <row r="314" spans="15:39"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</row>
    <row r="315" spans="15:39"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</row>
    <row r="316" spans="15:39"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</row>
    <row r="317" spans="15:39"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</row>
    <row r="318" spans="15:39"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</row>
    <row r="319" spans="15:39"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</row>
    <row r="320" spans="15:39"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</row>
    <row r="321" spans="15:39"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</row>
    <row r="322" spans="15:39"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</row>
    <row r="323" spans="15:39"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</row>
    <row r="324" spans="15:39"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</row>
    <row r="325" spans="15:39"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</row>
    <row r="326" spans="15:39"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</row>
    <row r="327" spans="15:39"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</row>
    <row r="328" spans="15:39"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</row>
    <row r="329" spans="15:39"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</row>
    <row r="330" spans="15:39"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</row>
    <row r="331" spans="15:39"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</row>
    <row r="332" spans="15:39"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</row>
    <row r="333" spans="15:39"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</row>
    <row r="334" spans="15:39"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</row>
    <row r="335" spans="15:39"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</row>
    <row r="336" spans="15:39"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</row>
    <row r="337" spans="15:39"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</row>
    <row r="338" spans="15:39"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</row>
    <row r="339" spans="15:39"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</row>
    <row r="340" spans="15:39"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</row>
    <row r="341" spans="15:39"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</row>
    <row r="342" spans="15:39"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</row>
    <row r="343" spans="15:39"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</row>
    <row r="344" spans="15:39"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</row>
    <row r="345" spans="15:39"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</row>
    <row r="346" spans="15:39"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</row>
    <row r="347" spans="15:39"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</row>
    <row r="348" spans="15:39"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</row>
    <row r="349" spans="15:39"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</row>
    <row r="350" spans="15:39"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</row>
    <row r="351" spans="15:39"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</row>
    <row r="352" spans="15:39"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</row>
    <row r="353" spans="15:39"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</row>
    <row r="354" spans="15:39"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</row>
    <row r="355" spans="15:39"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</row>
    <row r="356" spans="15:39"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</row>
    <row r="357" spans="15:39"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</row>
    <row r="358" spans="15:39"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</row>
    <row r="359" spans="15:39"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</row>
    <row r="360" spans="15:39"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</row>
    <row r="361" spans="15:39"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</row>
    <row r="362" spans="15:39"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</row>
    <row r="363" spans="15:39"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</row>
    <row r="364" spans="15:39"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</row>
    <row r="365" spans="15:39"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</row>
    <row r="366" spans="15:39"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</row>
    <row r="367" spans="15:39"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</row>
    <row r="368" spans="15:39"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</row>
    <row r="369" spans="15:39"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</row>
    <row r="370" spans="15:39"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</row>
    <row r="371" spans="15:39"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</row>
    <row r="372" spans="15:39"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</row>
    <row r="373" spans="15:39"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</row>
    <row r="374" spans="15:39"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</row>
    <row r="375" spans="15:39"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</row>
    <row r="376" spans="15:39"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</row>
    <row r="377" spans="15:39"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</row>
    <row r="378" spans="15:39"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</row>
    <row r="379" spans="15:39"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</row>
    <row r="380" spans="15:39"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</row>
    <row r="381" spans="15:39"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</row>
    <row r="382" spans="15:39"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</row>
    <row r="383" spans="15:39"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</row>
    <row r="384" spans="15:39"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</row>
    <row r="385" spans="15:39"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</row>
    <row r="386" spans="15:39"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</row>
    <row r="387" spans="15:39"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</row>
    <row r="388" spans="15:39"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</row>
    <row r="389" spans="15:39"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</row>
    <row r="390" spans="15:39"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</row>
    <row r="391" spans="15:39"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</row>
    <row r="392" spans="15:39"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</row>
    <row r="393" spans="15:39"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</row>
    <row r="394" spans="15:39"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</row>
    <row r="395" spans="15:39"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</row>
    <row r="396" spans="15:39"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</row>
    <row r="397" spans="15:39"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</row>
    <row r="398" spans="15:39"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</row>
    <row r="399" spans="15:39"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</row>
    <row r="400" spans="15:39"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</row>
    <row r="401" spans="15:39"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</row>
    <row r="402" spans="15:39"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</row>
    <row r="403" spans="15:39"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</row>
    <row r="404" spans="15:39"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</row>
    <row r="405" spans="15:39"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</row>
    <row r="406" spans="15:39"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</row>
    <row r="407" spans="15:39"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</row>
    <row r="408" spans="15:39"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</row>
    <row r="409" spans="15:39"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</row>
    <row r="410" spans="15:39"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</row>
    <row r="411" spans="15:39"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</row>
    <row r="412" spans="15:39"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</row>
    <row r="413" spans="15:39"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</row>
    <row r="414" spans="15:39"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</row>
    <row r="415" spans="15:39"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</row>
    <row r="416" spans="15:39"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</row>
    <row r="417" spans="15:39"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</row>
    <row r="418" spans="15:39"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</row>
    <row r="419" spans="15:39"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</row>
  </sheetData>
  <autoFilter ref="J1:N241">
    <filterColumn colId="0">
      <filters>
        <filter val="#LICZBA!"/>
      </filters>
    </filterColumn>
  </autoFilter>
  <phoneticPr fontId="3" type="noConversion"/>
  <pageMargins left="0.75" right="0.75" top="1" bottom="1" header="0.5" footer="0.5"/>
  <pageSetup paperSize="9" scale="80" orientation="portrait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4"/>
  <dimension ref="A1:Z342"/>
  <sheetViews>
    <sheetView showGridLines="0" view="pageBreakPreview" zoomScaleNormal="100" workbookViewId="0">
      <selection activeCell="J1" sqref="J1"/>
    </sheetView>
  </sheetViews>
  <sheetFormatPr defaultRowHeight="15"/>
  <cols>
    <col min="2" max="2" width="14.42578125" hidden="1" customWidth="1"/>
    <col min="3" max="6" width="9.140625" hidden="1" customWidth="1"/>
    <col min="9" max="9" width="0" hidden="1" customWidth="1"/>
    <col min="10" max="10" width="31.42578125" style="80" customWidth="1"/>
    <col min="11" max="11" width="13.140625" style="20" bestFit="1" customWidth="1"/>
    <col min="12" max="12" width="0" style="19" hidden="1" customWidth="1"/>
    <col min="13" max="13" width="29.7109375" style="80" customWidth="1"/>
    <col min="14" max="14" width="10.5703125" style="44" bestFit="1" customWidth="1"/>
  </cols>
  <sheetData>
    <row r="1" spans="2:26" ht="19.5" thickTop="1" thickBot="1">
      <c r="J1" s="65" t="s">
        <v>12</v>
      </c>
      <c r="K1" s="64" t="s">
        <v>13</v>
      </c>
      <c r="L1" s="65"/>
      <c r="M1" s="91" t="s">
        <v>14</v>
      </c>
      <c r="N1" s="65" t="s">
        <v>15</v>
      </c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2:26" ht="17.25" thickTop="1" thickBot="1">
      <c r="B2" t="str">
        <f>wyniki!B8</f>
        <v>Dąbrowski Mateusz</v>
      </c>
      <c r="C2" s="56">
        <f>wyniki!E8</f>
        <v>36</v>
      </c>
      <c r="D2" s="18">
        <v>1.0000000000000001E-5</v>
      </c>
      <c r="E2" s="56">
        <f>C2+D2</f>
        <v>36.000010000000003</v>
      </c>
      <c r="F2" t="str">
        <f>wyniki!$A$7</f>
        <v>SP8 Siedlce</v>
      </c>
      <c r="J2" s="79" t="str">
        <f>INDEX($B$2:$E$241,L2,1)</f>
        <v>Kamiński Mateusz</v>
      </c>
      <c r="K2" s="61">
        <f>LARGE($E$2:$E$241,1)</f>
        <v>62.000259999999997</v>
      </c>
      <c r="L2" s="63">
        <f>MATCH(K2,$E$2:$E$241,0)</f>
        <v>26</v>
      </c>
      <c r="M2" s="79" t="str">
        <f>INDEX($E$2:$F$241,L2,2)</f>
        <v>SP9 Siedlce</v>
      </c>
      <c r="N2" s="37">
        <v>1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2:26" ht="17.25" thickTop="1" thickBot="1">
      <c r="B3" t="str">
        <f>wyniki!B9</f>
        <v>Iliński Aleksander</v>
      </c>
      <c r="C3" s="56">
        <f>wyniki!E9</f>
        <v>42</v>
      </c>
      <c r="D3" s="18">
        <v>2.0000000000000002E-5</v>
      </c>
      <c r="E3" s="56">
        <f t="shared" ref="E3:E66" si="0">C3+D3</f>
        <v>42.000019999999999</v>
      </c>
      <c r="F3" t="str">
        <f>wyniki!$A$7</f>
        <v>SP8 Siedlce</v>
      </c>
      <c r="J3" s="79" t="str">
        <f t="shared" ref="J3:J66" si="1">INDEX($B$2:$E$241,L3,1)</f>
        <v>Sołomski Oliwier</v>
      </c>
      <c r="K3" s="61">
        <f>LARGE($E$2:$E$241,2)</f>
        <v>58.000459999999997</v>
      </c>
      <c r="L3" s="63">
        <f t="shared" ref="L3:L66" si="2">MATCH(K3,$E$2:$E$241,0)</f>
        <v>46</v>
      </c>
      <c r="M3" s="79" t="str">
        <f t="shared" ref="M3:M66" si="3">INDEX($E$2:$F$241,L3,2)</f>
        <v>SP Zielonki Parcela</v>
      </c>
      <c r="N3" s="37">
        <v>2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2:26" ht="17.25" thickTop="1" thickBot="1">
      <c r="B4" t="str">
        <f>wyniki!B10</f>
        <v>Ługowski Bartosz</v>
      </c>
      <c r="C4" s="56">
        <f>wyniki!E10</f>
        <v>53.5</v>
      </c>
      <c r="D4" s="18">
        <v>3.0000000000000001E-5</v>
      </c>
      <c r="E4" s="56">
        <f t="shared" si="0"/>
        <v>53.500030000000002</v>
      </c>
      <c r="F4" t="str">
        <f>wyniki!$A$7</f>
        <v>SP8 Siedlce</v>
      </c>
      <c r="J4" s="79" t="str">
        <f t="shared" si="1"/>
        <v>Ługowski Bartosz</v>
      </c>
      <c r="K4" s="61">
        <f>LARGE($E$2:$E$241,3)</f>
        <v>53.500030000000002</v>
      </c>
      <c r="L4" s="63">
        <f t="shared" si="2"/>
        <v>3</v>
      </c>
      <c r="M4" s="79" t="str">
        <f t="shared" si="3"/>
        <v>SP8 Siedlce</v>
      </c>
      <c r="N4" s="37">
        <v>3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2:26" ht="17.25" thickTop="1" thickBot="1">
      <c r="B5" t="str">
        <f>wyniki!B11</f>
        <v>Redes Maciej</v>
      </c>
      <c r="C5" s="56">
        <f>wyniki!E11</f>
        <v>31</v>
      </c>
      <c r="D5" s="18">
        <v>4.0000000000000003E-5</v>
      </c>
      <c r="E5" s="56">
        <f t="shared" si="0"/>
        <v>31.000039999999998</v>
      </c>
      <c r="F5" t="str">
        <f>wyniki!$A$7</f>
        <v>SP8 Siedlce</v>
      </c>
      <c r="J5" s="79" t="str">
        <f t="shared" si="1"/>
        <v>Balcer Antoni</v>
      </c>
      <c r="K5" s="61">
        <f>LARGE($E$2:$E$241,4)</f>
        <v>52.000610000000002</v>
      </c>
      <c r="L5" s="63">
        <f t="shared" si="2"/>
        <v>61</v>
      </c>
      <c r="M5" s="79" t="str">
        <f t="shared" si="3"/>
        <v>SP2 Zielonka</v>
      </c>
      <c r="N5" s="37">
        <v>4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2:26" ht="17.25" thickTop="1" thickBot="1">
      <c r="B6" t="str">
        <f>wyniki!B12</f>
        <v>Świder Tymoteusz</v>
      </c>
      <c r="C6" s="56">
        <f>wyniki!E12</f>
        <v>40</v>
      </c>
      <c r="D6" s="18">
        <v>5.0000000000000002E-5</v>
      </c>
      <c r="E6" s="56">
        <f t="shared" si="0"/>
        <v>40.000050000000002</v>
      </c>
      <c r="F6" t="str">
        <f>wyniki!$A$7</f>
        <v>SP8 Siedlce</v>
      </c>
      <c r="J6" s="79" t="str">
        <f t="shared" si="1"/>
        <v>Kobielski Mateusz</v>
      </c>
      <c r="K6" s="61">
        <f>LARGE($E$2:$E$241,5)</f>
        <v>49.500619999999998</v>
      </c>
      <c r="L6" s="63">
        <f t="shared" si="2"/>
        <v>62</v>
      </c>
      <c r="M6" s="79" t="str">
        <f t="shared" si="3"/>
        <v>SP2 Zielonka</v>
      </c>
      <c r="N6" s="37">
        <v>5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2:26" ht="17.25" thickTop="1" thickBot="1">
      <c r="B7" t="str">
        <f>wyniki!B13</f>
        <v>Nitychoruk Maciej</v>
      </c>
      <c r="C7" s="56">
        <f>wyniki!E13</f>
        <v>41.5</v>
      </c>
      <c r="D7" s="18">
        <v>6.0000000000000002E-5</v>
      </c>
      <c r="E7" s="56">
        <f t="shared" si="0"/>
        <v>41.500059999999998</v>
      </c>
      <c r="F7" t="str">
        <f>wyniki!$A$7</f>
        <v>SP8 Siedlce</v>
      </c>
      <c r="J7" s="79" t="str">
        <f t="shared" si="1"/>
        <v>Kołacz Nikodem</v>
      </c>
      <c r="K7" s="61">
        <f>LARGE($E$2:$E$241,6)</f>
        <v>49.500070000000001</v>
      </c>
      <c r="L7" s="63">
        <f t="shared" si="2"/>
        <v>7</v>
      </c>
      <c r="M7" s="79" t="str">
        <f t="shared" si="3"/>
        <v>PSP24 Radom</v>
      </c>
      <c r="N7" s="37">
        <v>6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2:26" ht="17.25" thickTop="1" thickBot="1">
      <c r="B8" t="str">
        <f>wyniki!B15</f>
        <v>Kołacz Nikodem</v>
      </c>
      <c r="C8" s="56">
        <f>wyniki!E15</f>
        <v>49.5</v>
      </c>
      <c r="D8" s="18">
        <v>6.9999999999999994E-5</v>
      </c>
      <c r="E8" s="56">
        <f t="shared" si="0"/>
        <v>49.500070000000001</v>
      </c>
      <c r="F8" t="str">
        <f>wyniki!$A$14</f>
        <v>PSP24 Radom</v>
      </c>
      <c r="J8" s="79" t="str">
        <f t="shared" si="1"/>
        <v>Zwierzchowski Krystian</v>
      </c>
      <c r="K8" s="61">
        <f>LARGE($E$2:$E$241,7)</f>
        <v>49.000660000000003</v>
      </c>
      <c r="L8" s="63">
        <f t="shared" si="2"/>
        <v>66</v>
      </c>
      <c r="M8" s="79" t="str">
        <f t="shared" si="3"/>
        <v>SP2 Zielonka</v>
      </c>
      <c r="N8" s="37">
        <v>7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2:26" ht="17.25" thickTop="1" thickBot="1">
      <c r="B9" t="str">
        <f>wyniki!B16</f>
        <v>Komar Wojciech</v>
      </c>
      <c r="C9" s="56">
        <f>wyniki!E16</f>
        <v>37</v>
      </c>
      <c r="D9" s="18">
        <v>8.0000000000000007E-5</v>
      </c>
      <c r="E9" s="56">
        <f t="shared" si="0"/>
        <v>37.000079999999997</v>
      </c>
      <c r="F9" t="str">
        <f>wyniki!$A$14</f>
        <v>PSP24 Radom</v>
      </c>
      <c r="J9" s="79" t="str">
        <f t="shared" si="1"/>
        <v>Dąbrowski Aleksander</v>
      </c>
      <c r="K9" s="61">
        <f>LARGE($E$2:$E$241,8)</f>
        <v>47.000129999999999</v>
      </c>
      <c r="L9" s="63">
        <f t="shared" si="2"/>
        <v>13</v>
      </c>
      <c r="M9" s="79" t="str">
        <f t="shared" si="3"/>
        <v>SP4 Pruszków</v>
      </c>
      <c r="N9" s="37">
        <v>8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2:26" ht="17.25" thickTop="1" thickBot="1">
      <c r="B10" t="str">
        <f>wyniki!B17</f>
        <v>Markwat Natan</v>
      </c>
      <c r="C10" s="56">
        <f>wyniki!E17</f>
        <v>43</v>
      </c>
      <c r="D10" s="18">
        <v>9.0000000000000006E-5</v>
      </c>
      <c r="E10" s="56">
        <f t="shared" si="0"/>
        <v>43.00009</v>
      </c>
      <c r="F10" t="str">
        <f>wyniki!$A$14</f>
        <v>PSP24 Radom</v>
      </c>
      <c r="J10" s="79" t="str">
        <f t="shared" si="1"/>
        <v>Cisek Mikołaj</v>
      </c>
      <c r="K10" s="61">
        <f>LARGE($E$2:$E$241,9)</f>
        <v>46.500430000000001</v>
      </c>
      <c r="L10" s="63">
        <f t="shared" si="2"/>
        <v>43</v>
      </c>
      <c r="M10" s="79" t="str">
        <f t="shared" si="3"/>
        <v>SP Zielonki Parcela</v>
      </c>
      <c r="N10" s="37">
        <v>9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2:26" ht="17.25" thickTop="1" thickBot="1">
      <c r="B11" t="str">
        <f>wyniki!B18</f>
        <v>Nowak Aleksander</v>
      </c>
      <c r="C11" s="56">
        <f>wyniki!E18</f>
        <v>36</v>
      </c>
      <c r="D11" s="18">
        <v>1E-4</v>
      </c>
      <c r="E11" s="56">
        <f t="shared" si="0"/>
        <v>36.000100000000003</v>
      </c>
      <c r="F11" t="str">
        <f>wyniki!$A$14</f>
        <v>PSP24 Radom</v>
      </c>
      <c r="J11" s="79" t="str">
        <f t="shared" si="1"/>
        <v>Trzos Szymon</v>
      </c>
      <c r="K11" s="61">
        <f>LARGE($E$2:$E$241,10)</f>
        <v>46.000109999999999</v>
      </c>
      <c r="L11" s="63">
        <f t="shared" si="2"/>
        <v>11</v>
      </c>
      <c r="M11" s="79" t="str">
        <f t="shared" si="3"/>
        <v>PSP24 Radom</v>
      </c>
      <c r="N11" s="37">
        <v>10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2:26" ht="17.25" thickTop="1" thickBot="1">
      <c r="B12" t="str">
        <f>wyniki!B19</f>
        <v>Trzos Szymon</v>
      </c>
      <c r="C12" s="56">
        <f>wyniki!E19</f>
        <v>46</v>
      </c>
      <c r="D12" s="18">
        <v>1.1E-4</v>
      </c>
      <c r="E12" s="56">
        <f t="shared" si="0"/>
        <v>46.000109999999999</v>
      </c>
      <c r="F12" t="str">
        <f>wyniki!$A$14</f>
        <v>PSP24 Radom</v>
      </c>
      <c r="J12" s="79" t="str">
        <f t="shared" si="1"/>
        <v>Stepień Wojciech</v>
      </c>
      <c r="K12" s="61">
        <f>LARGE($E$2:$E$241,11)</f>
        <v>45.00047</v>
      </c>
      <c r="L12" s="63">
        <f t="shared" si="2"/>
        <v>47</v>
      </c>
      <c r="M12" s="79" t="str">
        <f t="shared" si="3"/>
        <v>SP Zielonki Parcela</v>
      </c>
      <c r="N12" s="37">
        <v>11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2:26" ht="17.25" thickTop="1" thickBot="1">
      <c r="B13">
        <f>wyniki!B20</f>
        <v>0</v>
      </c>
      <c r="C13" s="56">
        <f>wyniki!E20</f>
        <v>0</v>
      </c>
      <c r="D13" s="18">
        <v>1.2E-4</v>
      </c>
      <c r="E13" s="56">
        <f t="shared" si="0"/>
        <v>1.2E-4</v>
      </c>
      <c r="F13" t="str">
        <f>wyniki!$A$14</f>
        <v>PSP24 Radom</v>
      </c>
      <c r="J13" s="79" t="str">
        <f t="shared" si="1"/>
        <v>Kushchak Kamil</v>
      </c>
      <c r="K13" s="61">
        <f>LARGE($E$2:$E$241,12)</f>
        <v>45.000140000000002</v>
      </c>
      <c r="L13" s="63">
        <f t="shared" si="2"/>
        <v>14</v>
      </c>
      <c r="M13" s="79" t="str">
        <f t="shared" si="3"/>
        <v>SP4 Pruszków</v>
      </c>
      <c r="N13" s="37">
        <v>12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2:26" ht="17.25" thickTop="1" thickBot="1">
      <c r="B14" t="str">
        <f>wyniki!B22</f>
        <v>Dąbrowski Aleksander</v>
      </c>
      <c r="C14" s="56">
        <f>wyniki!E22</f>
        <v>47</v>
      </c>
      <c r="D14" s="18">
        <v>1.2999999999999999E-4</v>
      </c>
      <c r="E14" s="56">
        <f t="shared" si="0"/>
        <v>47.000129999999999</v>
      </c>
      <c r="F14" t="str">
        <f>wyniki!$A$21</f>
        <v>SP4 Pruszków</v>
      </c>
      <c r="J14" s="79" t="str">
        <f t="shared" si="1"/>
        <v>Wójcicki Maciej</v>
      </c>
      <c r="K14" s="61">
        <f>LARGE($E$2:$E$241,13)</f>
        <v>44.500480000000003</v>
      </c>
      <c r="L14" s="63">
        <f t="shared" si="2"/>
        <v>48</v>
      </c>
      <c r="M14" s="79" t="str">
        <f t="shared" si="3"/>
        <v>SP Zielonki Parcela</v>
      </c>
      <c r="N14" s="37">
        <v>13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2:26" ht="17.25" thickTop="1" thickBot="1">
      <c r="B15" t="str">
        <f>wyniki!B23</f>
        <v>Kushchak Kamil</v>
      </c>
      <c r="C15" s="56">
        <f>wyniki!E23</f>
        <v>45</v>
      </c>
      <c r="D15" s="18">
        <v>1.3999999999999999E-4</v>
      </c>
      <c r="E15" s="56">
        <f t="shared" si="0"/>
        <v>45.000140000000002</v>
      </c>
      <c r="F15" t="str">
        <f>wyniki!$A$21</f>
        <v>SP4 Pruszków</v>
      </c>
      <c r="J15" s="79" t="str">
        <f t="shared" si="1"/>
        <v>Michalski Piotr</v>
      </c>
      <c r="K15" s="61">
        <f>LARGE($E$2:$E$241,14)</f>
        <v>44.00076</v>
      </c>
      <c r="L15" s="63">
        <f t="shared" si="2"/>
        <v>76</v>
      </c>
      <c r="M15" s="79" t="str">
        <f t="shared" si="3"/>
        <v>SP18 Płock</v>
      </c>
      <c r="N15" s="37">
        <v>14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2:26" ht="17.25" thickTop="1" thickBot="1">
      <c r="B16" t="str">
        <f>wyniki!B24</f>
        <v>Kwiatkowski Julian</v>
      </c>
      <c r="C16" s="56">
        <f>wyniki!E24</f>
        <v>40</v>
      </c>
      <c r="D16" s="18">
        <v>1.4999999999999999E-4</v>
      </c>
      <c r="E16" s="56">
        <f t="shared" si="0"/>
        <v>40.000149999999998</v>
      </c>
      <c r="F16" t="str">
        <f>wyniki!$A$21</f>
        <v>SP4 Pruszków</v>
      </c>
      <c r="J16" s="79" t="str">
        <f t="shared" si="1"/>
        <v>Kałęcki Bartosz</v>
      </c>
      <c r="K16" s="61">
        <f>LARGE($E$2:$E$241,15)</f>
        <v>44.000509999999998</v>
      </c>
      <c r="L16" s="63">
        <f t="shared" si="2"/>
        <v>51</v>
      </c>
      <c r="M16" s="79" t="str">
        <f t="shared" si="3"/>
        <v>SP154 Warszawa</v>
      </c>
      <c r="N16" s="37">
        <v>15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2:26" ht="17.25" thickTop="1" thickBot="1">
      <c r="B17" t="str">
        <f>wyniki!B25</f>
        <v>Lipiński Cyprian</v>
      </c>
      <c r="C17" s="56">
        <f>wyniki!E25</f>
        <v>44</v>
      </c>
      <c r="D17" s="18">
        <v>1.6000000000000001E-4</v>
      </c>
      <c r="E17" s="56">
        <f t="shared" si="0"/>
        <v>44.000160000000001</v>
      </c>
      <c r="F17" t="str">
        <f>wyniki!$A$21</f>
        <v>SP4 Pruszków</v>
      </c>
      <c r="J17" s="79" t="str">
        <f t="shared" si="1"/>
        <v>Karbowski Aleksander</v>
      </c>
      <c r="K17" s="61">
        <f>LARGE($E$2:$E$241,16)</f>
        <v>44.000369999999997</v>
      </c>
      <c r="L17" s="63">
        <f t="shared" si="2"/>
        <v>37</v>
      </c>
      <c r="M17" s="79" t="str">
        <f t="shared" si="3"/>
        <v>SP204 Warszawa</v>
      </c>
      <c r="N17" s="37">
        <v>16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2:26" ht="17.25" thickTop="1" thickBot="1">
      <c r="B18" t="str">
        <f>wyniki!B26</f>
        <v>Miron Artur</v>
      </c>
      <c r="C18" s="56">
        <f>wyniki!E26</f>
        <v>39</v>
      </c>
      <c r="D18" s="18">
        <v>1.7000000000000001E-4</v>
      </c>
      <c r="E18" s="56">
        <f t="shared" si="0"/>
        <v>39.000169999999997</v>
      </c>
      <c r="F18" t="str">
        <f>wyniki!$A$21</f>
        <v>SP4 Pruszków</v>
      </c>
      <c r="J18" s="79" t="str">
        <f t="shared" si="1"/>
        <v>Sypiański Szymon</v>
      </c>
      <c r="K18" s="61">
        <f>LARGE($E$2:$E$241,17)</f>
        <v>44.00029</v>
      </c>
      <c r="L18" s="63">
        <f t="shared" si="2"/>
        <v>29</v>
      </c>
      <c r="M18" s="79" t="str">
        <f t="shared" si="3"/>
        <v>SP9 Siedlce</v>
      </c>
      <c r="N18" s="37">
        <v>17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2:26" ht="17.25" thickTop="1" thickBot="1">
      <c r="B19" t="str">
        <f>wyniki!B27</f>
        <v>Zień Paweł</v>
      </c>
      <c r="C19" s="56">
        <f>wyniki!E27</f>
        <v>40.5</v>
      </c>
      <c r="D19" s="18">
        <v>1.8000000000000001E-4</v>
      </c>
      <c r="E19" s="56">
        <f t="shared" si="0"/>
        <v>40.50018</v>
      </c>
      <c r="F19" t="str">
        <f>wyniki!$A$21</f>
        <v>SP4 Pruszków</v>
      </c>
      <c r="J19" s="79" t="str">
        <f t="shared" si="1"/>
        <v>Lipiński Cyprian</v>
      </c>
      <c r="K19" s="61">
        <f>LARGE($E$2:$E$241,18)</f>
        <v>44.000160000000001</v>
      </c>
      <c r="L19" s="63">
        <f t="shared" si="2"/>
        <v>16</v>
      </c>
      <c r="M19" s="79" t="str">
        <f t="shared" si="3"/>
        <v>SP4 Pruszków</v>
      </c>
      <c r="N19" s="37">
        <v>18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2:26" ht="17.25" thickTop="1" thickBot="1">
      <c r="B20" t="str">
        <f>wyniki!B29</f>
        <v>Banaszczyk Dawid</v>
      </c>
      <c r="C20" s="56">
        <f>wyniki!E29</f>
        <v>39</v>
      </c>
      <c r="D20" s="18">
        <v>1.9000000000000001E-4</v>
      </c>
      <c r="E20" s="56">
        <f t="shared" si="0"/>
        <v>39.000190000000003</v>
      </c>
      <c r="F20" t="str">
        <f>wyniki!$A$28</f>
        <v>SP2 Szydłowiec</v>
      </c>
      <c r="J20" s="79" t="str">
        <f t="shared" si="1"/>
        <v>Urbaniak Igor</v>
      </c>
      <c r="K20" s="61">
        <f>LARGE($E$2:$E$241,19)</f>
        <v>43.500599999999999</v>
      </c>
      <c r="L20" s="63">
        <f t="shared" si="2"/>
        <v>60</v>
      </c>
      <c r="M20" s="79" t="str">
        <f t="shared" si="3"/>
        <v xml:space="preserve">SP Jednorożec </v>
      </c>
      <c r="N20" s="37">
        <v>19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2:26" ht="17.25" thickTop="1" thickBot="1">
      <c r="B21" t="str">
        <f>wyniki!B30</f>
        <v>Kroguec Antoni</v>
      </c>
      <c r="C21" s="56">
        <f>wyniki!E30</f>
        <v>41</v>
      </c>
      <c r="D21" s="18">
        <v>2.0000000000000001E-4</v>
      </c>
      <c r="E21" s="56">
        <f t="shared" si="0"/>
        <v>41.0002</v>
      </c>
      <c r="F21" t="str">
        <f>wyniki!$A$28</f>
        <v>SP2 Szydłowiec</v>
      </c>
      <c r="J21" s="79" t="str">
        <f t="shared" si="1"/>
        <v>Bryczyński Maksymilian</v>
      </c>
      <c r="K21" s="61">
        <f>LARGE($E$2:$E$241,20)</f>
        <v>43.000489999999999</v>
      </c>
      <c r="L21" s="63">
        <f t="shared" si="2"/>
        <v>49</v>
      </c>
      <c r="M21" s="79" t="str">
        <f t="shared" si="3"/>
        <v>SP154 Warszawa</v>
      </c>
      <c r="N21" s="37">
        <v>20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2:26" ht="17.25" thickTop="1" thickBot="1">
      <c r="B22" t="str">
        <f>wyniki!B31</f>
        <v>May Franciszek</v>
      </c>
      <c r="C22" s="56">
        <f>wyniki!E31</f>
        <v>40</v>
      </c>
      <c r="D22" s="18">
        <v>2.1000000000000001E-4</v>
      </c>
      <c r="E22" s="56">
        <f t="shared" si="0"/>
        <v>40.000210000000003</v>
      </c>
      <c r="F22" t="str">
        <f>wyniki!$A$28</f>
        <v>SP2 Szydłowiec</v>
      </c>
      <c r="J22" s="79" t="str">
        <f t="shared" si="1"/>
        <v>Markwat Natan</v>
      </c>
      <c r="K22" s="61">
        <f>LARGE($E$2:$E$241,21)</f>
        <v>43.00009</v>
      </c>
      <c r="L22" s="63">
        <f t="shared" si="2"/>
        <v>9</v>
      </c>
      <c r="M22" s="79" t="str">
        <f t="shared" si="3"/>
        <v>PSP24 Radom</v>
      </c>
      <c r="N22" s="37">
        <v>21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2:26" ht="17.25" thickTop="1" thickBot="1">
      <c r="B23" t="str">
        <f>wyniki!B32</f>
        <v>Pawlak Kacper</v>
      </c>
      <c r="C23" s="56">
        <f>wyniki!E32</f>
        <v>32</v>
      </c>
      <c r="D23" s="18">
        <v>2.2000000000000001E-4</v>
      </c>
      <c r="E23" s="56">
        <f t="shared" si="0"/>
        <v>32.000219999999999</v>
      </c>
      <c r="F23" t="str">
        <f>wyniki!$A$28</f>
        <v>SP2 Szydłowiec</v>
      </c>
      <c r="J23" s="79" t="str">
        <f t="shared" si="1"/>
        <v>Porębski Jakub</v>
      </c>
      <c r="K23" s="61">
        <f>LARGE($E$2:$E$241,22)</f>
        <v>42.500390000000003</v>
      </c>
      <c r="L23" s="63">
        <f t="shared" si="2"/>
        <v>39</v>
      </c>
      <c r="M23" s="79" t="str">
        <f t="shared" si="3"/>
        <v>SP204 Warszawa</v>
      </c>
      <c r="N23" s="37">
        <v>22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2:26" ht="17.25" thickTop="1" thickBot="1">
      <c r="B24" t="str">
        <f>wyniki!B33</f>
        <v>Sala Szymon</v>
      </c>
      <c r="C24" s="56">
        <f>wyniki!E33</f>
        <v>34</v>
      </c>
      <c r="D24" s="18">
        <v>2.3000000000000001E-4</v>
      </c>
      <c r="E24" s="56">
        <f t="shared" si="0"/>
        <v>34.000230000000002</v>
      </c>
      <c r="F24" t="str">
        <f>wyniki!$A$28</f>
        <v>SP2 Szydłowiec</v>
      </c>
      <c r="J24" s="79" t="str">
        <f t="shared" si="1"/>
        <v>Baran Wiktor</v>
      </c>
      <c r="K24" s="61">
        <f>LARGE($E$2:$E$241,23)</f>
        <v>42.000309999999999</v>
      </c>
      <c r="L24" s="63">
        <f t="shared" si="2"/>
        <v>31</v>
      </c>
      <c r="M24" s="79" t="str">
        <f t="shared" si="3"/>
        <v>SP1 Ostrów Maz</v>
      </c>
      <c r="N24" s="37">
        <v>23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2:26" ht="17.25" thickTop="1" thickBot="1">
      <c r="B25" t="str">
        <f>wyniki!B34</f>
        <v>Walasik Kacper</v>
      </c>
      <c r="C25" s="56">
        <f>wyniki!E34</f>
        <v>32</v>
      </c>
      <c r="D25" s="18">
        <v>2.4000000000000001E-4</v>
      </c>
      <c r="E25" s="56">
        <f t="shared" si="0"/>
        <v>32.000239999999998</v>
      </c>
      <c r="F25" t="str">
        <f>wyniki!$A$28</f>
        <v>SP2 Szydłowiec</v>
      </c>
      <c r="J25" s="79" t="str">
        <f t="shared" si="1"/>
        <v>Iliński Aleksander</v>
      </c>
      <c r="K25" s="61">
        <f>LARGE($E$2:$E$241,24)</f>
        <v>42.000019999999999</v>
      </c>
      <c r="L25" s="63">
        <f t="shared" si="2"/>
        <v>2</v>
      </c>
      <c r="M25" s="79" t="str">
        <f t="shared" si="3"/>
        <v>SP8 Siedlce</v>
      </c>
      <c r="N25" s="37">
        <v>24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2:26" ht="17.25" thickTop="1" thickBot="1">
      <c r="B26" t="str">
        <f>wyniki!B36</f>
        <v>Dąbrowski Bartosz</v>
      </c>
      <c r="C26" s="56">
        <f>wyniki!E36</f>
        <v>32</v>
      </c>
      <c r="D26" s="18">
        <v>2.5000000000000001E-4</v>
      </c>
      <c r="E26" s="56">
        <f t="shared" si="0"/>
        <v>32.000250000000001</v>
      </c>
      <c r="F26" t="str">
        <f>wyniki!$A$35</f>
        <v>SP9 Siedlce</v>
      </c>
      <c r="J26" s="79" t="str">
        <f t="shared" si="1"/>
        <v>Dyszkowski Mateusz</v>
      </c>
      <c r="K26" s="61">
        <f>LARGE($E$2:$E$241,25)</f>
        <v>41.500439999999998</v>
      </c>
      <c r="L26" s="63">
        <f t="shared" si="2"/>
        <v>44</v>
      </c>
      <c r="M26" s="79" t="str">
        <f t="shared" si="3"/>
        <v>SP Zielonki Parcela</v>
      </c>
      <c r="N26" s="37">
        <v>25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2:26" ht="17.25" thickTop="1" thickBot="1">
      <c r="B27" t="str">
        <f>wyniki!B37</f>
        <v>Kamiński Mateusz</v>
      </c>
      <c r="C27" s="56">
        <f>wyniki!E37</f>
        <v>62</v>
      </c>
      <c r="D27" s="18">
        <v>2.5999999999999998E-4</v>
      </c>
      <c r="E27" s="56">
        <f t="shared" si="0"/>
        <v>62.000259999999997</v>
      </c>
      <c r="F27" t="str">
        <f>wyniki!$A$35</f>
        <v>SP9 Siedlce</v>
      </c>
      <c r="J27" s="79" t="str">
        <f t="shared" si="1"/>
        <v>Zawadzki Szymon</v>
      </c>
      <c r="K27" s="61">
        <f>LARGE($E$2:$E$241,26)</f>
        <v>41.500410000000002</v>
      </c>
      <c r="L27" s="63">
        <f t="shared" si="2"/>
        <v>41</v>
      </c>
      <c r="M27" s="79" t="str">
        <f t="shared" si="3"/>
        <v>SP204 Warszawa</v>
      </c>
      <c r="N27" s="37">
        <v>26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2:26" ht="17.25" thickTop="1" thickBot="1">
      <c r="B28" t="str">
        <f>wyniki!B38</f>
        <v>Krasuski Jakub</v>
      </c>
      <c r="C28" s="56">
        <f>wyniki!E38</f>
        <v>34.5</v>
      </c>
      <c r="D28" s="18">
        <v>2.7E-4</v>
      </c>
      <c r="E28" s="56">
        <f t="shared" si="0"/>
        <v>34.50027</v>
      </c>
      <c r="F28" t="str">
        <f>wyniki!$A$35</f>
        <v>SP9 Siedlce</v>
      </c>
      <c r="J28" s="79" t="str">
        <f t="shared" si="1"/>
        <v>Nitychoruk Maciej</v>
      </c>
      <c r="K28" s="61">
        <f>LARGE($E$2:$E$241,27)</f>
        <v>41.500059999999998</v>
      </c>
      <c r="L28" s="63">
        <f t="shared" si="2"/>
        <v>6</v>
      </c>
      <c r="M28" s="79" t="str">
        <f t="shared" si="3"/>
        <v>SP8 Siedlce</v>
      </c>
      <c r="N28" s="37">
        <v>27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2:26" ht="17.25" thickTop="1" thickBot="1">
      <c r="B29" t="str">
        <f>wyniki!B39</f>
        <v>Sajewicz Piotr</v>
      </c>
      <c r="C29" s="56">
        <f>wyniki!E39</f>
        <v>37</v>
      </c>
      <c r="D29" s="18">
        <v>2.7999999999999998E-4</v>
      </c>
      <c r="E29" s="56">
        <f t="shared" si="0"/>
        <v>37.000279999999997</v>
      </c>
      <c r="F29" t="str">
        <f>wyniki!$A$35</f>
        <v>SP9 Siedlce</v>
      </c>
      <c r="J29" s="79" t="str">
        <f t="shared" si="1"/>
        <v>Mirecki Mateusz</v>
      </c>
      <c r="K29" s="61">
        <f>LARGE($E$2:$E$241,28)</f>
        <v>41.00038</v>
      </c>
      <c r="L29" s="63">
        <f t="shared" si="2"/>
        <v>38</v>
      </c>
      <c r="M29" s="79" t="str">
        <f t="shared" si="3"/>
        <v>SP204 Warszawa</v>
      </c>
      <c r="N29" s="37">
        <v>28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2:26" ht="17.25" thickTop="1" thickBot="1">
      <c r="B30" t="str">
        <f>wyniki!B40</f>
        <v>Sypiański Szymon</v>
      </c>
      <c r="C30" s="56">
        <f>wyniki!E40</f>
        <v>44</v>
      </c>
      <c r="D30" s="18">
        <v>2.9E-4</v>
      </c>
      <c r="E30" s="56">
        <f t="shared" si="0"/>
        <v>44.00029</v>
      </c>
      <c r="F30" t="str">
        <f>wyniki!$A$35</f>
        <v>SP9 Siedlce</v>
      </c>
      <c r="J30" s="79" t="str">
        <f t="shared" si="1"/>
        <v>Kroguec Antoni</v>
      </c>
      <c r="K30" s="61">
        <f>LARGE($E$2:$E$241,29)</f>
        <v>41.0002</v>
      </c>
      <c r="L30" s="63">
        <f t="shared" si="2"/>
        <v>20</v>
      </c>
      <c r="M30" s="79" t="str">
        <f t="shared" si="3"/>
        <v>SP2 Szydłowiec</v>
      </c>
      <c r="N30" s="37">
        <v>29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2:26" ht="17.25" thickTop="1" thickBot="1">
      <c r="B31" t="str">
        <f>wyniki!B41</f>
        <v>Terlikowski Ignacy</v>
      </c>
      <c r="C31" s="56">
        <f>wyniki!E41</f>
        <v>32.5</v>
      </c>
      <c r="D31" s="18">
        <v>2.9999999999999997E-4</v>
      </c>
      <c r="E31" s="56">
        <f t="shared" si="0"/>
        <v>32.500300000000003</v>
      </c>
      <c r="F31" t="str">
        <f>wyniki!$A$35</f>
        <v>SP9 Siedlce</v>
      </c>
      <c r="J31" s="79" t="str">
        <f t="shared" si="1"/>
        <v>Zień Paweł</v>
      </c>
      <c r="K31" s="61">
        <f>LARGE($E$2:$E$241,30)</f>
        <v>40.50018</v>
      </c>
      <c r="L31" s="63">
        <f t="shared" si="2"/>
        <v>18</v>
      </c>
      <c r="M31" s="79" t="str">
        <f t="shared" si="3"/>
        <v>SP4 Pruszków</v>
      </c>
      <c r="N31" s="37">
        <v>30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2:26" ht="17.25" thickTop="1" thickBot="1">
      <c r="B32" t="str">
        <f>wyniki!B43</f>
        <v>Baran Wiktor</v>
      </c>
      <c r="C32" s="56">
        <f>wyniki!E43</f>
        <v>42</v>
      </c>
      <c r="D32" s="18">
        <v>3.1E-4</v>
      </c>
      <c r="E32" s="56">
        <f t="shared" si="0"/>
        <v>42.000309999999999</v>
      </c>
      <c r="F32" t="str">
        <f>wyniki!$A$42</f>
        <v>SP1 Ostrów Maz</v>
      </c>
      <c r="J32" s="79" t="str">
        <f t="shared" si="1"/>
        <v>Jędrzejewski Kamil</v>
      </c>
      <c r="K32" s="61">
        <f>LARGE($E$2:$E$241,31)</f>
        <v>40.000689999999999</v>
      </c>
      <c r="L32" s="63">
        <f t="shared" si="2"/>
        <v>69</v>
      </c>
      <c r="M32" s="79" t="str">
        <f t="shared" si="3"/>
        <v>SP2 Mława</v>
      </c>
      <c r="N32" s="37">
        <v>31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2:26" ht="17.25" thickTop="1" thickBot="1">
      <c r="B33" t="str">
        <f>wyniki!B44</f>
        <v>Kaczerski Kuba</v>
      </c>
      <c r="C33" s="56">
        <f>wyniki!E44</f>
        <v>34</v>
      </c>
      <c r="D33" s="18">
        <v>3.2000000000000003E-4</v>
      </c>
      <c r="E33" s="56">
        <f t="shared" si="0"/>
        <v>34.000320000000002</v>
      </c>
      <c r="F33" t="str">
        <f>wyniki!$A$42</f>
        <v>SP1 Ostrów Maz</v>
      </c>
      <c r="J33" s="79" t="str">
        <f t="shared" si="1"/>
        <v>Bakuła Dawid</v>
      </c>
      <c r="K33" s="61">
        <f>LARGE($E$2:$E$241,32)</f>
        <v>40.00056</v>
      </c>
      <c r="L33" s="63">
        <f t="shared" si="2"/>
        <v>56</v>
      </c>
      <c r="M33" s="79" t="str">
        <f t="shared" si="3"/>
        <v xml:space="preserve">SP Jednorożec </v>
      </c>
      <c r="N33" s="37">
        <v>32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2:26" ht="17.25" thickTop="1" thickBot="1">
      <c r="B34" t="str">
        <f>wyniki!B45</f>
        <v>Malec Alan</v>
      </c>
      <c r="C34" s="56">
        <f>wyniki!E45</f>
        <v>28.5</v>
      </c>
      <c r="D34" s="18">
        <v>3.3E-4</v>
      </c>
      <c r="E34" s="56">
        <f t="shared" si="0"/>
        <v>28.500330000000002</v>
      </c>
      <c r="F34" t="str">
        <f>wyniki!$A$42</f>
        <v>SP1 Ostrów Maz</v>
      </c>
      <c r="J34" s="79" t="str">
        <f t="shared" si="1"/>
        <v>Antosiak Maciej</v>
      </c>
      <c r="K34" s="61">
        <f>LARGE($E$2:$E$241,33)</f>
        <v>40.000549999999997</v>
      </c>
      <c r="L34" s="63">
        <f t="shared" si="2"/>
        <v>55</v>
      </c>
      <c r="M34" s="79" t="str">
        <f t="shared" si="3"/>
        <v xml:space="preserve">SP Jednorożec </v>
      </c>
      <c r="N34" s="37">
        <v>33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2:26" ht="17.25" thickTop="1" thickBot="1">
      <c r="B35" t="str">
        <f>wyniki!B46</f>
        <v>Maliszewski Jan</v>
      </c>
      <c r="C35" s="56">
        <f>wyniki!E46</f>
        <v>26.5</v>
      </c>
      <c r="D35" s="18">
        <v>3.4000000000000002E-4</v>
      </c>
      <c r="E35" s="56">
        <f t="shared" si="0"/>
        <v>26.500340000000001</v>
      </c>
      <c r="F35" t="str">
        <f>wyniki!$A$42</f>
        <v>SP1 Ostrów Maz</v>
      </c>
      <c r="J35" s="79" t="str">
        <f t="shared" si="1"/>
        <v>May Franciszek</v>
      </c>
      <c r="K35" s="61">
        <f>LARGE($E$2:$E$241,34)</f>
        <v>40.000210000000003</v>
      </c>
      <c r="L35" s="63">
        <f t="shared" si="2"/>
        <v>21</v>
      </c>
      <c r="M35" s="79" t="str">
        <f t="shared" si="3"/>
        <v>SP2 Szydłowiec</v>
      </c>
      <c r="N35" s="37">
        <v>34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2:26" ht="17.25" thickTop="1" thickBot="1">
      <c r="B36" t="str">
        <f>wyniki!B47</f>
        <v>Maliszewski Michał</v>
      </c>
      <c r="C36" s="56">
        <f>wyniki!E47</f>
        <v>27.5</v>
      </c>
      <c r="D36" s="18">
        <v>3.5E-4</v>
      </c>
      <c r="E36" s="56">
        <f t="shared" si="0"/>
        <v>27.500350000000001</v>
      </c>
      <c r="F36" t="str">
        <f>wyniki!$A$42</f>
        <v>SP1 Ostrów Maz</v>
      </c>
      <c r="J36" s="79" t="str">
        <f t="shared" si="1"/>
        <v>Kwiatkowski Julian</v>
      </c>
      <c r="K36" s="61">
        <f>LARGE($E$2:$E$241,35)</f>
        <v>40.000149999999998</v>
      </c>
      <c r="L36" s="63">
        <f t="shared" si="2"/>
        <v>15</v>
      </c>
      <c r="M36" s="79" t="str">
        <f t="shared" si="3"/>
        <v>SP4 Pruszków</v>
      </c>
      <c r="N36" s="37">
        <v>35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2:26" ht="17.25" thickTop="1" thickBot="1">
      <c r="B37" t="str">
        <f>wyniki!B48</f>
        <v>Równy Krystian</v>
      </c>
      <c r="C37" s="56">
        <f>wyniki!E48</f>
        <v>34.5</v>
      </c>
      <c r="D37" s="18">
        <v>3.6000000000000002E-4</v>
      </c>
      <c r="E37" s="56">
        <f t="shared" si="0"/>
        <v>34.500360000000001</v>
      </c>
      <c r="F37" t="str">
        <f>wyniki!$A$42</f>
        <v>SP1 Ostrów Maz</v>
      </c>
      <c r="J37" s="79" t="str">
        <f t="shared" si="1"/>
        <v>Świder Tymoteusz</v>
      </c>
      <c r="K37" s="61">
        <f>LARGE($E$2:$E$241,36)</f>
        <v>40.000050000000002</v>
      </c>
      <c r="L37" s="63">
        <f t="shared" si="2"/>
        <v>5</v>
      </c>
      <c r="M37" s="79" t="str">
        <f t="shared" si="3"/>
        <v>SP8 Siedlce</v>
      </c>
      <c r="N37" s="37">
        <v>36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2:26" ht="17.25" thickTop="1" thickBot="1">
      <c r="B38" t="str">
        <f>wyniki!B50</f>
        <v>Karbowski Aleksander</v>
      </c>
      <c r="C38" s="56">
        <f>wyniki!E50</f>
        <v>44</v>
      </c>
      <c r="D38" s="18">
        <v>3.6999999999999999E-4</v>
      </c>
      <c r="E38" s="56">
        <f t="shared" si="0"/>
        <v>44.000369999999997</v>
      </c>
      <c r="F38" t="str">
        <f>wyniki!$A$49</f>
        <v>SP204 Warszawa</v>
      </c>
      <c r="J38" s="79" t="str">
        <f t="shared" si="1"/>
        <v>Lewandowski Bartosz</v>
      </c>
      <c r="K38" s="61">
        <f>LARGE($E$2:$E$241,37)</f>
        <v>39.000749999999996</v>
      </c>
      <c r="L38" s="63">
        <f t="shared" si="2"/>
        <v>75</v>
      </c>
      <c r="M38" s="79" t="str">
        <f t="shared" si="3"/>
        <v>SP18 Płock</v>
      </c>
      <c r="N38" s="37">
        <v>37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2:26" ht="17.25" thickTop="1" thickBot="1">
      <c r="B39" t="str">
        <f>wyniki!B51</f>
        <v>Mirecki Mateusz</v>
      </c>
      <c r="C39" s="56">
        <f>wyniki!E51</f>
        <v>41</v>
      </c>
      <c r="D39" s="18">
        <v>3.8000000000000002E-4</v>
      </c>
      <c r="E39" s="56">
        <f t="shared" si="0"/>
        <v>41.00038</v>
      </c>
      <c r="F39" t="str">
        <f>wyniki!$A$49</f>
        <v>SP204 Warszawa</v>
      </c>
      <c r="J39" s="79" t="str">
        <f t="shared" si="1"/>
        <v>Domżalski Szymon</v>
      </c>
      <c r="K39" s="61">
        <f>LARGE($E$2:$E$241,38)</f>
        <v>39.000680000000003</v>
      </c>
      <c r="L39" s="63">
        <f t="shared" si="2"/>
        <v>68</v>
      </c>
      <c r="M39" s="79" t="str">
        <f t="shared" si="3"/>
        <v>SP2 Mława</v>
      </c>
      <c r="N39" s="37">
        <v>38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2:26" ht="17.25" thickTop="1" thickBot="1">
      <c r="B40" t="str">
        <f>wyniki!B52</f>
        <v>Porębski Jakub</v>
      </c>
      <c r="C40" s="56">
        <f>wyniki!E52</f>
        <v>42.5</v>
      </c>
      <c r="D40" s="18">
        <v>3.8999999999999999E-4</v>
      </c>
      <c r="E40" s="56">
        <f t="shared" si="0"/>
        <v>42.500390000000003</v>
      </c>
      <c r="F40" t="str">
        <f>wyniki!$A$49</f>
        <v>SP204 Warszawa</v>
      </c>
      <c r="J40" s="79" t="str">
        <f t="shared" si="1"/>
        <v>Banaszczyk Dawid</v>
      </c>
      <c r="K40" s="61">
        <f>LARGE($E$2:$E$241,39)</f>
        <v>39.000190000000003</v>
      </c>
      <c r="L40" s="63">
        <f t="shared" si="2"/>
        <v>19</v>
      </c>
      <c r="M40" s="79" t="str">
        <f t="shared" si="3"/>
        <v>SP2 Szydłowiec</v>
      </c>
      <c r="N40" s="37">
        <v>39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2:26" ht="17.25" thickTop="1" thickBot="1">
      <c r="B41" t="str">
        <f>wyniki!B53</f>
        <v>Tuczyński Aleksander</v>
      </c>
      <c r="C41" s="56">
        <f>wyniki!E53</f>
        <v>37</v>
      </c>
      <c r="D41" s="18">
        <v>4.0000000000000002E-4</v>
      </c>
      <c r="E41" s="56">
        <f t="shared" si="0"/>
        <v>37.000399999999999</v>
      </c>
      <c r="F41" t="str">
        <f>wyniki!$A$49</f>
        <v>SP204 Warszawa</v>
      </c>
      <c r="J41" s="79" t="str">
        <f t="shared" si="1"/>
        <v>Miron Artur</v>
      </c>
      <c r="K41" s="61">
        <f>LARGE($E$2:$E$241,40)</f>
        <v>39.000169999999997</v>
      </c>
      <c r="L41" s="63">
        <f t="shared" si="2"/>
        <v>17</v>
      </c>
      <c r="M41" s="79" t="str">
        <f t="shared" si="3"/>
        <v>SP4 Pruszków</v>
      </c>
      <c r="N41" s="37">
        <v>40</v>
      </c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2:26" ht="17.25" thickTop="1" thickBot="1">
      <c r="B42" t="str">
        <f>wyniki!B54</f>
        <v>Zawadzki Szymon</v>
      </c>
      <c r="C42" s="56">
        <f>wyniki!E54</f>
        <v>41.5</v>
      </c>
      <c r="D42" s="18">
        <v>4.0999999999999999E-4</v>
      </c>
      <c r="E42" s="56">
        <f t="shared" si="0"/>
        <v>41.500410000000002</v>
      </c>
      <c r="F42" t="str">
        <f>wyniki!$A$49</f>
        <v>SP204 Warszawa</v>
      </c>
      <c r="J42" s="79" t="str">
        <f t="shared" si="1"/>
        <v>Czaplicki Karol</v>
      </c>
      <c r="K42" s="61">
        <f>LARGE($E$2:$E$241,41)</f>
        <v>38.000709999999998</v>
      </c>
      <c r="L42" s="63">
        <f t="shared" si="2"/>
        <v>71</v>
      </c>
      <c r="M42" s="79" t="str">
        <f t="shared" si="3"/>
        <v>SP2 Mława</v>
      </c>
      <c r="N42" s="37">
        <v>41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2:26" ht="17.25" thickTop="1" thickBot="1">
      <c r="B43" t="str">
        <f>wyniki!B55</f>
        <v>Zieniewicz Franciszek</v>
      </c>
      <c r="C43" s="56">
        <f>wyniki!E55</f>
        <v>35</v>
      </c>
      <c r="D43" s="18">
        <v>4.2000000000000002E-4</v>
      </c>
      <c r="E43" s="56">
        <f t="shared" si="0"/>
        <v>35.000419999999998</v>
      </c>
      <c r="F43" t="str">
        <f>wyniki!$A$49</f>
        <v>SP204 Warszawa</v>
      </c>
      <c r="J43" s="79" t="str">
        <f t="shared" si="1"/>
        <v>Staszkiewicz Michał</v>
      </c>
      <c r="K43" s="61">
        <f>LARGE($E$2:$E$241,42)</f>
        <v>38.000520000000002</v>
      </c>
      <c r="L43" s="63">
        <f t="shared" si="2"/>
        <v>52</v>
      </c>
      <c r="M43" s="79" t="str">
        <f t="shared" si="3"/>
        <v>SP154 Warszawa</v>
      </c>
      <c r="N43" s="37">
        <v>42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2:26" ht="17.25" thickTop="1" thickBot="1">
      <c r="B44" t="str">
        <f>wyniki!B57</f>
        <v>Cisek Mikołaj</v>
      </c>
      <c r="C44" s="56">
        <f>wyniki!E57</f>
        <v>46.5</v>
      </c>
      <c r="D44" s="18">
        <v>4.2999999999999999E-4</v>
      </c>
      <c r="E44" s="56">
        <f t="shared" si="0"/>
        <v>46.500430000000001</v>
      </c>
      <c r="F44" t="str">
        <f>wyniki!$A$56</f>
        <v>SP Zielonki Parcela</v>
      </c>
      <c r="J44" s="79" t="str">
        <f t="shared" si="1"/>
        <v>Kochański Adrian</v>
      </c>
      <c r="K44" s="61">
        <f>LARGE($E$2:$E$241,43)</f>
        <v>37.000639999999997</v>
      </c>
      <c r="L44" s="63">
        <f t="shared" si="2"/>
        <v>64</v>
      </c>
      <c r="M44" s="79" t="str">
        <f t="shared" si="3"/>
        <v>SP2 Zielonka</v>
      </c>
      <c r="N44" s="37">
        <v>43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2:26" ht="17.25" thickTop="1" thickBot="1">
      <c r="B45" t="str">
        <f>wyniki!B58</f>
        <v>Dyszkowski Mateusz</v>
      </c>
      <c r="C45" s="56">
        <f>wyniki!E58</f>
        <v>41.5</v>
      </c>
      <c r="D45" s="18">
        <v>4.4000000000000002E-4</v>
      </c>
      <c r="E45" s="56">
        <f t="shared" si="0"/>
        <v>41.500439999999998</v>
      </c>
      <c r="F45" t="str">
        <f>wyniki!$A$56</f>
        <v>SP Zielonki Parcela</v>
      </c>
      <c r="J45" s="79" t="str">
        <f t="shared" si="1"/>
        <v>Tomiczak Jan</v>
      </c>
      <c r="K45" s="61">
        <f>LARGE($E$2:$E$241,44)</f>
        <v>37.000529999999998</v>
      </c>
      <c r="L45" s="63">
        <f t="shared" si="2"/>
        <v>53</v>
      </c>
      <c r="M45" s="79" t="str">
        <f t="shared" si="3"/>
        <v>SP154 Warszawa</v>
      </c>
      <c r="N45" s="37">
        <v>44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2:26" ht="17.25" thickTop="1" thickBot="1">
      <c r="B46" t="str">
        <f>wyniki!B59</f>
        <v>Kowalski Tymoteusz</v>
      </c>
      <c r="C46" s="56">
        <f>wyniki!E59</f>
        <v>33</v>
      </c>
      <c r="D46" s="18">
        <v>4.4999999999999999E-4</v>
      </c>
      <c r="E46" s="56">
        <f t="shared" si="0"/>
        <v>33.000450000000001</v>
      </c>
      <c r="F46" t="str">
        <f>wyniki!$A$56</f>
        <v>SP Zielonki Parcela</v>
      </c>
      <c r="J46" s="79" t="str">
        <f t="shared" si="1"/>
        <v>Tuczyński Aleksander</v>
      </c>
      <c r="K46" s="61">
        <f>LARGE($E$2:$E$241,45)</f>
        <v>37.000399999999999</v>
      </c>
      <c r="L46" s="63">
        <f t="shared" si="2"/>
        <v>40</v>
      </c>
      <c r="M46" s="79" t="str">
        <f t="shared" si="3"/>
        <v>SP204 Warszawa</v>
      </c>
      <c r="N46" s="37">
        <v>45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2:26" ht="17.25" thickTop="1" thickBot="1">
      <c r="B47" t="str">
        <f>wyniki!B60</f>
        <v>Sołomski Oliwier</v>
      </c>
      <c r="C47" s="56">
        <f>wyniki!E60</f>
        <v>58</v>
      </c>
      <c r="D47" s="18">
        <v>4.6000000000000001E-4</v>
      </c>
      <c r="E47" s="56">
        <f t="shared" si="0"/>
        <v>58.000459999999997</v>
      </c>
      <c r="F47" t="str">
        <f>wyniki!$A$56</f>
        <v>SP Zielonki Parcela</v>
      </c>
      <c r="J47" s="79" t="str">
        <f t="shared" si="1"/>
        <v>Sajewicz Piotr</v>
      </c>
      <c r="K47" s="61">
        <f>LARGE($E$2:$E$241,46)</f>
        <v>37.000279999999997</v>
      </c>
      <c r="L47" s="63">
        <f t="shared" si="2"/>
        <v>28</v>
      </c>
      <c r="M47" s="79" t="str">
        <f t="shared" si="3"/>
        <v>SP9 Siedlce</v>
      </c>
      <c r="N47" s="37">
        <v>46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2:26" ht="17.25" thickTop="1" thickBot="1">
      <c r="B48" t="str">
        <f>wyniki!B61</f>
        <v>Stepień Wojciech</v>
      </c>
      <c r="C48" s="56">
        <f>wyniki!E61</f>
        <v>45</v>
      </c>
      <c r="D48" s="18">
        <v>4.6999999999999999E-4</v>
      </c>
      <c r="E48" s="56">
        <f t="shared" si="0"/>
        <v>45.00047</v>
      </c>
      <c r="F48" t="str">
        <f>wyniki!$A$56</f>
        <v>SP Zielonki Parcela</v>
      </c>
      <c r="J48" s="79" t="str">
        <f t="shared" si="1"/>
        <v>Komar Wojciech</v>
      </c>
      <c r="K48" s="61">
        <f>LARGE($E$2:$E$241,47)</f>
        <v>37.000079999999997</v>
      </c>
      <c r="L48" s="63">
        <f t="shared" si="2"/>
        <v>8</v>
      </c>
      <c r="M48" s="79" t="str">
        <f t="shared" si="3"/>
        <v>PSP24 Radom</v>
      </c>
      <c r="N48" s="37">
        <v>47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2:26" ht="17.25" thickTop="1" thickBot="1">
      <c r="B49" t="str">
        <f>wyniki!B62</f>
        <v>Wójcicki Maciej</v>
      </c>
      <c r="C49" s="56">
        <f>wyniki!E62</f>
        <v>44.5</v>
      </c>
      <c r="D49" s="18">
        <v>4.8000000000000001E-4</v>
      </c>
      <c r="E49" s="56">
        <f t="shared" si="0"/>
        <v>44.500480000000003</v>
      </c>
      <c r="F49" t="str">
        <f>wyniki!$A$56</f>
        <v>SP Zielonki Parcela</v>
      </c>
      <c r="J49" s="79" t="str">
        <f t="shared" si="1"/>
        <v>Starzak Brajan</v>
      </c>
      <c r="K49" s="61">
        <f>LARGE($E$2:$E$241,48)</f>
        <v>36.500700000000002</v>
      </c>
      <c r="L49" s="63">
        <f t="shared" si="2"/>
        <v>70</v>
      </c>
      <c r="M49" s="79" t="str">
        <f t="shared" si="3"/>
        <v>SP2 Mława</v>
      </c>
      <c r="N49" s="37">
        <v>48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2:26" ht="17.25" thickTop="1" thickBot="1">
      <c r="B50" t="str">
        <f>wyniki!B64</f>
        <v>Bryczyński Maksymilian</v>
      </c>
      <c r="C50" s="56">
        <f>wyniki!E64</f>
        <v>43</v>
      </c>
      <c r="D50" s="18">
        <v>4.8999999999999998E-4</v>
      </c>
      <c r="E50" s="56">
        <f t="shared" si="0"/>
        <v>43.000489999999999</v>
      </c>
      <c r="F50" t="str">
        <f>wyniki!$A$63</f>
        <v>SP154 Warszawa</v>
      </c>
      <c r="J50" s="79" t="str">
        <f t="shared" si="1"/>
        <v>Bors Paweł</v>
      </c>
      <c r="K50" s="61">
        <f>LARGE($E$2:$E$241,49)</f>
        <v>36.000579999999999</v>
      </c>
      <c r="L50" s="63">
        <f t="shared" si="2"/>
        <v>58</v>
      </c>
      <c r="M50" s="79" t="str">
        <f t="shared" si="3"/>
        <v xml:space="preserve">SP Jednorożec </v>
      </c>
      <c r="N50" s="37">
        <v>49</v>
      </c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2:26" ht="17.25" thickTop="1" thickBot="1">
      <c r="B51" t="str">
        <f>wyniki!B65</f>
        <v>Dąbrowski Franciszek</v>
      </c>
      <c r="C51" s="56">
        <f>wyniki!E65</f>
        <v>35</v>
      </c>
      <c r="D51" s="18">
        <v>5.0000000000000001E-4</v>
      </c>
      <c r="E51" s="56">
        <f t="shared" si="0"/>
        <v>35.000500000000002</v>
      </c>
      <c r="F51" t="str">
        <f>wyniki!$A$63</f>
        <v>SP154 Warszawa</v>
      </c>
      <c r="J51" s="79" t="str">
        <f t="shared" si="1"/>
        <v>Nowak Aleksander</v>
      </c>
      <c r="K51" s="61">
        <f>LARGE($E$2:$E$241,50)</f>
        <v>36.000100000000003</v>
      </c>
      <c r="L51" s="63">
        <f t="shared" si="2"/>
        <v>10</v>
      </c>
      <c r="M51" s="79" t="str">
        <f t="shared" si="3"/>
        <v>PSP24 Radom</v>
      </c>
      <c r="N51" s="37">
        <v>50</v>
      </c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2:26" ht="17.25" thickTop="1" thickBot="1">
      <c r="B52" t="str">
        <f>wyniki!B66</f>
        <v>Kałęcki Bartosz</v>
      </c>
      <c r="C52" s="56">
        <f>wyniki!E66</f>
        <v>44</v>
      </c>
      <c r="D52" s="18">
        <v>5.1000000000000004E-4</v>
      </c>
      <c r="E52" s="56">
        <f t="shared" si="0"/>
        <v>44.000509999999998</v>
      </c>
      <c r="F52" t="str">
        <f>wyniki!$A$63</f>
        <v>SP154 Warszawa</v>
      </c>
      <c r="J52" s="79" t="str">
        <f t="shared" si="1"/>
        <v>Dąbrowski Mateusz</v>
      </c>
      <c r="K52" s="61">
        <f>LARGE($E$2:$E$241,51)</f>
        <v>36.000010000000003</v>
      </c>
      <c r="L52" s="63">
        <f t="shared" si="2"/>
        <v>1</v>
      </c>
      <c r="M52" s="79" t="str">
        <f t="shared" si="3"/>
        <v>SP8 Siedlce</v>
      </c>
      <c r="N52" s="37">
        <v>51</v>
      </c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2:26" ht="17.25" thickTop="1" thickBot="1">
      <c r="B53" t="str">
        <f>wyniki!B67</f>
        <v>Staszkiewicz Michał</v>
      </c>
      <c r="C53" s="56">
        <f>wyniki!E67</f>
        <v>38</v>
      </c>
      <c r="D53" s="18">
        <v>5.1999999999999995E-4</v>
      </c>
      <c r="E53" s="56">
        <f t="shared" si="0"/>
        <v>38.000520000000002</v>
      </c>
      <c r="F53" t="str">
        <f>wyniki!$A$63</f>
        <v>SP154 Warszawa</v>
      </c>
      <c r="J53" s="79" t="str">
        <f t="shared" si="1"/>
        <v>Kołodziej Adam</v>
      </c>
      <c r="K53" s="61">
        <f>LARGE($E$2:$E$241,52)</f>
        <v>35.000729999999997</v>
      </c>
      <c r="L53" s="63">
        <f t="shared" si="2"/>
        <v>73</v>
      </c>
      <c r="M53" s="79" t="str">
        <f t="shared" si="3"/>
        <v>SP18 Płock</v>
      </c>
      <c r="N53" s="37">
        <v>52</v>
      </c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2:26" ht="17.25" thickTop="1" thickBot="1">
      <c r="B54" t="str">
        <f>wyniki!B68</f>
        <v>Tomiczak Jan</v>
      </c>
      <c r="C54" s="56">
        <f>wyniki!E68</f>
        <v>37</v>
      </c>
      <c r="D54" s="18">
        <v>5.2999999999999998E-4</v>
      </c>
      <c r="E54" s="56">
        <f t="shared" si="0"/>
        <v>37.000529999999998</v>
      </c>
      <c r="F54" t="str">
        <f>wyniki!$A$63</f>
        <v>SP154 Warszawa</v>
      </c>
      <c r="J54" s="79" t="str">
        <f t="shared" si="1"/>
        <v>Ducki Michał</v>
      </c>
      <c r="K54" s="61">
        <f>LARGE($E$2:$E$241,53)</f>
        <v>35.000630000000001</v>
      </c>
      <c r="L54" s="63">
        <f t="shared" si="2"/>
        <v>63</v>
      </c>
      <c r="M54" s="79" t="str">
        <f t="shared" si="3"/>
        <v>SP2 Zielonka</v>
      </c>
      <c r="N54" s="37">
        <v>53</v>
      </c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2:26" ht="17.25" thickTop="1" thickBot="1">
      <c r="B55" t="str">
        <f>wyniki!B69</f>
        <v>Zaniemcha Nikodem</v>
      </c>
      <c r="C55" s="56">
        <f>wyniki!E69</f>
        <v>34</v>
      </c>
      <c r="D55" s="18">
        <v>5.4000000000000001E-4</v>
      </c>
      <c r="E55" s="56">
        <f t="shared" si="0"/>
        <v>34.000540000000001</v>
      </c>
      <c r="F55" t="str">
        <f>wyniki!$A$63</f>
        <v>SP154 Warszawa</v>
      </c>
      <c r="J55" s="79" t="str">
        <f t="shared" si="1"/>
        <v>Dąbrowski Franciszek</v>
      </c>
      <c r="K55" s="61">
        <f>LARGE($E$2:$E$241,54)</f>
        <v>35.000500000000002</v>
      </c>
      <c r="L55" s="63">
        <f t="shared" si="2"/>
        <v>50</v>
      </c>
      <c r="M55" s="79" t="str">
        <f t="shared" si="3"/>
        <v>SP154 Warszawa</v>
      </c>
      <c r="N55" s="37">
        <v>54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2:26" ht="17.25" thickTop="1" thickBot="1">
      <c r="B56" t="str">
        <f>wyniki!B71</f>
        <v>Antosiak Maciej</v>
      </c>
      <c r="C56" s="56">
        <f>wyniki!E71</f>
        <v>40</v>
      </c>
      <c r="D56" s="18">
        <v>5.5000000000000003E-4</v>
      </c>
      <c r="E56" s="56">
        <f t="shared" si="0"/>
        <v>40.000549999999997</v>
      </c>
      <c r="F56" t="str">
        <f>wyniki!$A$70</f>
        <v xml:space="preserve">SP Jednorożec </v>
      </c>
      <c r="J56" s="79" t="str">
        <f t="shared" si="1"/>
        <v>Zieniewicz Franciszek</v>
      </c>
      <c r="K56" s="61">
        <f>LARGE($E$2:$E$241,55)</f>
        <v>35.000419999999998</v>
      </c>
      <c r="L56" s="63">
        <f t="shared" si="2"/>
        <v>42</v>
      </c>
      <c r="M56" s="79" t="str">
        <f t="shared" si="3"/>
        <v>SP204 Warszawa</v>
      </c>
      <c r="N56" s="37">
        <v>55</v>
      </c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2:26" ht="17.25" thickTop="1" thickBot="1">
      <c r="B57" t="str">
        <f>wyniki!B72</f>
        <v>Bakuła Dawid</v>
      </c>
      <c r="C57" s="56">
        <f>wyniki!E72</f>
        <v>40</v>
      </c>
      <c r="D57" s="18">
        <v>5.5999999999999995E-4</v>
      </c>
      <c r="E57" s="56">
        <f t="shared" si="0"/>
        <v>40.00056</v>
      </c>
      <c r="F57" t="str">
        <f>wyniki!$A$70</f>
        <v xml:space="preserve">SP Jednorożec </v>
      </c>
      <c r="J57" s="79" t="str">
        <f t="shared" si="1"/>
        <v>Równy Krystian</v>
      </c>
      <c r="K57" s="61">
        <f>LARGE($E$2:$E$241,56)</f>
        <v>34.500360000000001</v>
      </c>
      <c r="L57" s="63">
        <f t="shared" si="2"/>
        <v>36</v>
      </c>
      <c r="M57" s="79" t="str">
        <f t="shared" si="3"/>
        <v>SP1 Ostrów Maz</v>
      </c>
      <c r="N57" s="37">
        <v>56</v>
      </c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2:26" ht="17.25" thickTop="1" thickBot="1">
      <c r="B58" t="str">
        <f>wyniki!B73</f>
        <v>Bonalski Maciej</v>
      </c>
      <c r="C58" s="56">
        <f>wyniki!E73</f>
        <v>31</v>
      </c>
      <c r="D58" s="18">
        <v>5.6999999999999998E-4</v>
      </c>
      <c r="E58" s="56">
        <f t="shared" si="0"/>
        <v>31.00057</v>
      </c>
      <c r="F58" t="str">
        <f>wyniki!$A$70</f>
        <v xml:space="preserve">SP Jednorożec </v>
      </c>
      <c r="J58" s="79" t="str">
        <f t="shared" si="1"/>
        <v>Krasuski Jakub</v>
      </c>
      <c r="K58" s="61">
        <f>LARGE($E$2:$E$241,57)</f>
        <v>34.50027</v>
      </c>
      <c r="L58" s="63">
        <f t="shared" si="2"/>
        <v>27</v>
      </c>
      <c r="M58" s="79" t="str">
        <f t="shared" si="3"/>
        <v>SP9 Siedlce</v>
      </c>
      <c r="N58" s="37">
        <v>57</v>
      </c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2:26" ht="17.25" thickTop="1" thickBot="1">
      <c r="B59" t="str">
        <f>wyniki!B74</f>
        <v>Bors Paweł</v>
      </c>
      <c r="C59" s="56">
        <f>wyniki!E74</f>
        <v>36</v>
      </c>
      <c r="D59" s="18">
        <v>5.8E-4</v>
      </c>
      <c r="E59" s="56">
        <f t="shared" si="0"/>
        <v>36.000579999999999</v>
      </c>
      <c r="F59" t="str">
        <f>wyniki!$A$70</f>
        <v xml:space="preserve">SP Jednorożec </v>
      </c>
      <c r="J59" s="79" t="str">
        <f t="shared" si="1"/>
        <v>Leszczyński Kacper</v>
      </c>
      <c r="K59" s="61">
        <f>LARGE($E$2:$E$241,58)</f>
        <v>34.00074</v>
      </c>
      <c r="L59" s="63">
        <f t="shared" si="2"/>
        <v>74</v>
      </c>
      <c r="M59" s="79" t="str">
        <f t="shared" si="3"/>
        <v>SP18 Płock</v>
      </c>
      <c r="N59" s="37">
        <v>58</v>
      </c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2:26" ht="17.25" thickTop="1" thickBot="1">
      <c r="B60" t="str">
        <f>wyniki!B75</f>
        <v>Pękala Bartłomiej</v>
      </c>
      <c r="C60" s="56">
        <f>wyniki!E75</f>
        <v>29</v>
      </c>
      <c r="D60" s="18">
        <v>5.9000000000000003E-4</v>
      </c>
      <c r="E60" s="56">
        <f t="shared" si="0"/>
        <v>29.000589999999999</v>
      </c>
      <c r="F60" t="str">
        <f>wyniki!$A$70</f>
        <v xml:space="preserve">SP Jednorożec </v>
      </c>
      <c r="J60" s="79" t="str">
        <f t="shared" si="1"/>
        <v>Zaniemcha Nikodem</v>
      </c>
      <c r="K60" s="61">
        <f>LARGE($E$2:$E$241,59)</f>
        <v>34.000540000000001</v>
      </c>
      <c r="L60" s="63">
        <f t="shared" si="2"/>
        <v>54</v>
      </c>
      <c r="M60" s="79" t="str">
        <f t="shared" si="3"/>
        <v>SP154 Warszawa</v>
      </c>
      <c r="N60" s="37">
        <v>59</v>
      </c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2:26" ht="17.25" thickTop="1" thickBot="1">
      <c r="B61" t="str">
        <f>wyniki!B76</f>
        <v>Urbaniak Igor</v>
      </c>
      <c r="C61" s="56">
        <f>wyniki!E76</f>
        <v>43.5</v>
      </c>
      <c r="D61" s="18">
        <v>5.9999999999999995E-4</v>
      </c>
      <c r="E61" s="56">
        <f t="shared" si="0"/>
        <v>43.500599999999999</v>
      </c>
      <c r="F61" t="str">
        <f>wyniki!$A$70</f>
        <v xml:space="preserve">SP Jednorożec </v>
      </c>
      <c r="J61" s="79" t="str">
        <f t="shared" si="1"/>
        <v>Kaczerski Kuba</v>
      </c>
      <c r="K61" s="61">
        <f>LARGE($E$2:$E$241,60)</f>
        <v>34.000320000000002</v>
      </c>
      <c r="L61" s="63">
        <f t="shared" si="2"/>
        <v>32</v>
      </c>
      <c r="M61" s="79" t="str">
        <f t="shared" si="3"/>
        <v>SP1 Ostrów Maz</v>
      </c>
      <c r="N61" s="37">
        <v>60</v>
      </c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2:26" ht="17.25" thickTop="1" thickBot="1">
      <c r="B62" t="str">
        <f>wyniki!B78</f>
        <v>Balcer Antoni</v>
      </c>
      <c r="C62" s="56">
        <f>wyniki!E78</f>
        <v>52</v>
      </c>
      <c r="D62" s="18">
        <v>6.0999999999999997E-4</v>
      </c>
      <c r="E62" s="56">
        <f t="shared" si="0"/>
        <v>52.000610000000002</v>
      </c>
      <c r="F62" t="str">
        <f>wyniki!$A$77</f>
        <v>SP2 Zielonka</v>
      </c>
      <c r="J62" s="79" t="str">
        <f t="shared" si="1"/>
        <v>Sala Szymon</v>
      </c>
      <c r="K62" s="61">
        <f>LARGE($E$2:$E$241,61)</f>
        <v>34.000230000000002</v>
      </c>
      <c r="L62" s="63">
        <f t="shared" si="2"/>
        <v>23</v>
      </c>
      <c r="M62" s="79" t="str">
        <f t="shared" si="3"/>
        <v>SP2 Szydłowiec</v>
      </c>
      <c r="N62" s="37">
        <v>61</v>
      </c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2:26" ht="17.25" thickTop="1" thickBot="1">
      <c r="B63" t="str">
        <f>wyniki!B79</f>
        <v>Kobielski Mateusz</v>
      </c>
      <c r="C63" s="56">
        <f>wyniki!E79</f>
        <v>49.5</v>
      </c>
      <c r="D63" s="18">
        <v>6.2E-4</v>
      </c>
      <c r="E63" s="56">
        <f t="shared" si="0"/>
        <v>49.500619999999998</v>
      </c>
      <c r="F63" t="str">
        <f>wyniki!$A$77</f>
        <v>SP2 Zielonka</v>
      </c>
      <c r="J63" s="79" t="str">
        <f t="shared" si="1"/>
        <v>Kowalski Tymoteusz</v>
      </c>
      <c r="K63" s="61">
        <f>LARGE($E$2:$E$241,62)</f>
        <v>33.000450000000001</v>
      </c>
      <c r="L63" s="63">
        <f t="shared" si="2"/>
        <v>45</v>
      </c>
      <c r="M63" s="79" t="str">
        <f t="shared" si="3"/>
        <v>SP Zielonki Parcela</v>
      </c>
      <c r="N63" s="37">
        <v>62</v>
      </c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2:26" ht="17.25" thickTop="1" thickBot="1">
      <c r="B64" t="str">
        <f>wyniki!B80</f>
        <v>Ducki Michał</v>
      </c>
      <c r="C64" s="56">
        <f>wyniki!E80</f>
        <v>35</v>
      </c>
      <c r="D64" s="18">
        <v>6.3000000000000003E-4</v>
      </c>
      <c r="E64" s="56">
        <f t="shared" si="0"/>
        <v>35.000630000000001</v>
      </c>
      <c r="F64" t="str">
        <f>wyniki!$A$77</f>
        <v>SP2 Zielonka</v>
      </c>
      <c r="J64" s="79" t="str">
        <f t="shared" si="1"/>
        <v>Cendrowski Kacper</v>
      </c>
      <c r="K64" s="61">
        <f>LARGE($E$2:$E$241,63)</f>
        <v>32.50067</v>
      </c>
      <c r="L64" s="63">
        <f t="shared" si="2"/>
        <v>67</v>
      </c>
      <c r="M64" s="79" t="str">
        <f t="shared" si="3"/>
        <v>SP2 Mława</v>
      </c>
      <c r="N64" s="37">
        <v>63</v>
      </c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2:26" ht="17.25" thickTop="1" thickBot="1">
      <c r="B65" t="str">
        <f>wyniki!B81</f>
        <v>Kochański Adrian</v>
      </c>
      <c r="C65" s="56">
        <f>wyniki!E81</f>
        <v>37</v>
      </c>
      <c r="D65" s="18">
        <v>6.4000000000000005E-4</v>
      </c>
      <c r="E65" s="56">
        <f t="shared" si="0"/>
        <v>37.000639999999997</v>
      </c>
      <c r="F65" t="str">
        <f>wyniki!$A$77</f>
        <v>SP2 Zielonka</v>
      </c>
      <c r="J65" s="79" t="str">
        <f t="shared" si="1"/>
        <v>Terlikowski Ignacy</v>
      </c>
      <c r="K65" s="61">
        <f>LARGE($E$2:$E$241,64)</f>
        <v>32.500300000000003</v>
      </c>
      <c r="L65" s="63">
        <f t="shared" si="2"/>
        <v>30</v>
      </c>
      <c r="M65" s="79" t="str">
        <f t="shared" si="3"/>
        <v>SP9 Siedlce</v>
      </c>
      <c r="N65" s="37">
        <v>64</v>
      </c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2:26" ht="17.25" thickTop="1" thickBot="1">
      <c r="B66" t="str">
        <f>wyniki!B82</f>
        <v>Sienkiewicz Marcin</v>
      </c>
      <c r="C66" s="56">
        <f>wyniki!E82</f>
        <v>30.5</v>
      </c>
      <c r="D66" s="18">
        <v>6.4999999999999997E-4</v>
      </c>
      <c r="E66" s="56">
        <f t="shared" si="0"/>
        <v>30.50065</v>
      </c>
      <c r="F66" t="str">
        <f>wyniki!$A$77</f>
        <v>SP2 Zielonka</v>
      </c>
      <c r="J66" s="79" t="str">
        <f t="shared" si="1"/>
        <v>Dąbrowski Bartosz</v>
      </c>
      <c r="K66" s="61">
        <f>LARGE($E$2:$E$241,65)</f>
        <v>32.000250000000001</v>
      </c>
      <c r="L66" s="63">
        <f t="shared" si="2"/>
        <v>25</v>
      </c>
      <c r="M66" s="79" t="str">
        <f t="shared" si="3"/>
        <v>SP9 Siedlce</v>
      </c>
      <c r="N66" s="37">
        <v>65</v>
      </c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2:26" ht="17.25" thickTop="1" thickBot="1">
      <c r="B67" t="str">
        <f>wyniki!B83</f>
        <v>Zwierzchowski Krystian</v>
      </c>
      <c r="C67" s="56">
        <f>wyniki!E83</f>
        <v>49</v>
      </c>
      <c r="D67" s="18">
        <v>6.6E-4</v>
      </c>
      <c r="E67" s="56">
        <f t="shared" ref="E67:E130" si="4">C67+D67</f>
        <v>49.000660000000003</v>
      </c>
      <c r="F67" t="str">
        <f>wyniki!$A$77</f>
        <v>SP2 Zielonka</v>
      </c>
      <c r="J67" s="79" t="str">
        <f t="shared" ref="J67:J130" si="5">INDEX($B$2:$E$241,L67,1)</f>
        <v>Walasik Kacper</v>
      </c>
      <c r="K67" s="61">
        <f>LARGE($E$2:$E$241,66)</f>
        <v>32.000239999999998</v>
      </c>
      <c r="L67" s="63">
        <f t="shared" ref="L67:L130" si="6">MATCH(K67,$E$2:$E$241,0)</f>
        <v>24</v>
      </c>
      <c r="M67" s="79" t="str">
        <f t="shared" ref="M67:M130" si="7">INDEX($E$2:$F$241,L67,2)</f>
        <v>SP2 Szydłowiec</v>
      </c>
      <c r="N67" s="37">
        <v>66</v>
      </c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2:26" ht="17.25" thickTop="1" thickBot="1">
      <c r="B68" t="str">
        <f>wyniki!B85</f>
        <v>Cendrowski Kacper</v>
      </c>
      <c r="C68" s="56">
        <f>wyniki!E85</f>
        <v>32.5</v>
      </c>
      <c r="D68" s="18">
        <v>6.7000000000000002E-4</v>
      </c>
      <c r="E68" s="56">
        <f t="shared" si="4"/>
        <v>32.50067</v>
      </c>
      <c r="F68" t="str">
        <f>wyniki!$A$84</f>
        <v>SP2 Mława</v>
      </c>
      <c r="J68" s="79" t="str">
        <f t="shared" si="5"/>
        <v>Pawlak Kacper</v>
      </c>
      <c r="K68" s="61">
        <f>LARGE($E$2:$E$241,67)</f>
        <v>32.000219999999999</v>
      </c>
      <c r="L68" s="63">
        <f t="shared" si="6"/>
        <v>22</v>
      </c>
      <c r="M68" s="79" t="str">
        <f t="shared" si="7"/>
        <v>SP2 Szydłowiec</v>
      </c>
      <c r="N68" s="37">
        <v>67</v>
      </c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2:26" ht="17.25" thickTop="1" thickBot="1">
      <c r="B69" t="str">
        <f>wyniki!B86</f>
        <v>Domżalski Szymon</v>
      </c>
      <c r="C69" s="56">
        <f>wyniki!E86</f>
        <v>39</v>
      </c>
      <c r="D69" s="18">
        <v>6.8000000000000005E-4</v>
      </c>
      <c r="E69" s="56">
        <f t="shared" si="4"/>
        <v>39.000680000000003</v>
      </c>
      <c r="F69" t="str">
        <f>wyniki!$A$84</f>
        <v>SP2 Mława</v>
      </c>
      <c r="J69" s="79" t="str">
        <f t="shared" si="5"/>
        <v>Bonalski Maciej</v>
      </c>
      <c r="K69" s="61">
        <f>LARGE($E$2:$E$241,68)</f>
        <v>31.00057</v>
      </c>
      <c r="L69" s="63">
        <f t="shared" si="6"/>
        <v>57</v>
      </c>
      <c r="M69" s="79" t="str">
        <f t="shared" si="7"/>
        <v xml:space="preserve">SP Jednorożec </v>
      </c>
      <c r="N69" s="37">
        <v>68</v>
      </c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2:26" ht="17.25" thickTop="1" thickBot="1">
      <c r="B70" t="str">
        <f>wyniki!B87</f>
        <v>Jędrzejewski Kamil</v>
      </c>
      <c r="C70" s="56">
        <f>wyniki!E87</f>
        <v>40</v>
      </c>
      <c r="D70" s="18">
        <v>6.8999999999999997E-4</v>
      </c>
      <c r="E70" s="56">
        <f t="shared" si="4"/>
        <v>40.000689999999999</v>
      </c>
      <c r="F70" t="str">
        <f>wyniki!$A$84</f>
        <v>SP2 Mława</v>
      </c>
      <c r="J70" s="79" t="str">
        <f t="shared" si="5"/>
        <v>Redes Maciej</v>
      </c>
      <c r="K70" s="61">
        <f>LARGE($E$2:$E$241,69)</f>
        <v>31.000039999999998</v>
      </c>
      <c r="L70" s="63">
        <f t="shared" si="6"/>
        <v>4</v>
      </c>
      <c r="M70" s="79" t="str">
        <f t="shared" si="7"/>
        <v>SP8 Siedlce</v>
      </c>
      <c r="N70" s="37">
        <v>69</v>
      </c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2:26" ht="17.25" thickTop="1" thickBot="1">
      <c r="B71" t="str">
        <f>wyniki!B88</f>
        <v>Starzak Brajan</v>
      </c>
      <c r="C71" s="56">
        <f>wyniki!E88</f>
        <v>36.5</v>
      </c>
      <c r="D71" s="18">
        <v>6.9999999999999999E-4</v>
      </c>
      <c r="E71" s="56">
        <f t="shared" si="4"/>
        <v>36.500700000000002</v>
      </c>
      <c r="F71" t="str">
        <f>wyniki!$A$84</f>
        <v>SP2 Mława</v>
      </c>
      <c r="J71" s="79" t="str">
        <f t="shared" si="5"/>
        <v>Sienkiewicz Marcin</v>
      </c>
      <c r="K71" s="61">
        <f>LARGE($E$2:$E$241,70)</f>
        <v>30.50065</v>
      </c>
      <c r="L71" s="63">
        <f t="shared" si="6"/>
        <v>65</v>
      </c>
      <c r="M71" s="79" t="str">
        <f t="shared" si="7"/>
        <v>SP2 Zielonka</v>
      </c>
      <c r="N71" s="37">
        <v>70</v>
      </c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2:26" ht="17.25" thickTop="1" thickBot="1">
      <c r="B72" t="str">
        <f>wyniki!B89</f>
        <v>Czaplicki Karol</v>
      </c>
      <c r="C72" s="56">
        <f>wyniki!E89</f>
        <v>38</v>
      </c>
      <c r="D72" s="18">
        <v>7.1000000000000002E-4</v>
      </c>
      <c r="E72" s="56">
        <f t="shared" si="4"/>
        <v>38.000709999999998</v>
      </c>
      <c r="F72" t="str">
        <f>wyniki!$A$84</f>
        <v>SP2 Mława</v>
      </c>
      <c r="J72" s="79" t="str">
        <f t="shared" si="5"/>
        <v>Olichwiruk Piotr</v>
      </c>
      <c r="K72" s="61">
        <f>LARGE($E$2:$E$241,71)</f>
        <v>29.500769999999999</v>
      </c>
      <c r="L72" s="63">
        <f t="shared" si="6"/>
        <v>77</v>
      </c>
      <c r="M72" s="79" t="str">
        <f t="shared" si="7"/>
        <v>SP18 Płock</v>
      </c>
      <c r="N72" s="37">
        <v>71</v>
      </c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2:26" ht="17.25" thickTop="1" thickBot="1">
      <c r="B73">
        <f>wyniki!B90</f>
        <v>0</v>
      </c>
      <c r="C73" s="56">
        <f>wyniki!E90</f>
        <v>0</v>
      </c>
      <c r="D73" s="18">
        <v>7.2000000000000005E-4</v>
      </c>
      <c r="E73" s="56">
        <f t="shared" si="4"/>
        <v>7.2000000000000005E-4</v>
      </c>
      <c r="F73" t="str">
        <f>wyniki!$A$84</f>
        <v>SP2 Mława</v>
      </c>
      <c r="J73" s="79" t="str">
        <f t="shared" si="5"/>
        <v>Pękala Bartłomiej</v>
      </c>
      <c r="K73" s="61">
        <f>LARGE($E$2:$E$241,72)</f>
        <v>29.000589999999999</v>
      </c>
      <c r="L73" s="63">
        <f t="shared" si="6"/>
        <v>59</v>
      </c>
      <c r="M73" s="79" t="str">
        <f t="shared" si="7"/>
        <v xml:space="preserve">SP Jednorożec </v>
      </c>
      <c r="N73" s="37">
        <v>72</v>
      </c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2:26" ht="17.25" thickTop="1" thickBot="1">
      <c r="B74" t="str">
        <f>wyniki!B92</f>
        <v>Kołodziej Adam</v>
      </c>
      <c r="C74" s="56">
        <f>wyniki!E92</f>
        <v>35</v>
      </c>
      <c r="D74" s="18">
        <v>7.2999999999999996E-4</v>
      </c>
      <c r="E74" s="56">
        <f t="shared" si="4"/>
        <v>35.000729999999997</v>
      </c>
      <c r="F74" t="str">
        <f>wyniki!$A$91</f>
        <v>SP18 Płock</v>
      </c>
      <c r="J74" s="79" t="str">
        <f t="shared" si="5"/>
        <v>Malec Alan</v>
      </c>
      <c r="K74" s="61">
        <f>LARGE($E$2:$E$241,73)</f>
        <v>28.500330000000002</v>
      </c>
      <c r="L74" s="63">
        <f t="shared" si="6"/>
        <v>33</v>
      </c>
      <c r="M74" s="79" t="str">
        <f t="shared" si="7"/>
        <v>SP1 Ostrów Maz</v>
      </c>
      <c r="N74" s="37">
        <v>73</v>
      </c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2:26" ht="17.25" thickTop="1" thickBot="1">
      <c r="B75" t="str">
        <f>wyniki!B93</f>
        <v>Leszczyński Kacper</v>
      </c>
      <c r="C75" s="56">
        <f>wyniki!E93</f>
        <v>34</v>
      </c>
      <c r="D75" s="18">
        <v>7.3999999999999999E-4</v>
      </c>
      <c r="E75" s="56">
        <f t="shared" si="4"/>
        <v>34.00074</v>
      </c>
      <c r="F75" t="str">
        <f>wyniki!$A$91</f>
        <v>SP18 Płock</v>
      </c>
      <c r="J75" s="79" t="str">
        <f t="shared" si="5"/>
        <v>Maliszewski Michał</v>
      </c>
      <c r="K75" s="61">
        <f>LARGE($E$2:$E$241,74)</f>
        <v>27.500350000000001</v>
      </c>
      <c r="L75" s="63">
        <f t="shared" si="6"/>
        <v>35</v>
      </c>
      <c r="M75" s="79" t="str">
        <f t="shared" si="7"/>
        <v>SP1 Ostrów Maz</v>
      </c>
      <c r="N75" s="37">
        <v>74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2:26" ht="17.25" thickTop="1" thickBot="1">
      <c r="B76" t="str">
        <f>wyniki!B94</f>
        <v>Lewandowski Bartosz</v>
      </c>
      <c r="C76" s="56">
        <f>wyniki!E94</f>
        <v>39</v>
      </c>
      <c r="D76" s="18">
        <v>7.5000000000000002E-4</v>
      </c>
      <c r="E76" s="56">
        <f t="shared" si="4"/>
        <v>39.000749999999996</v>
      </c>
      <c r="F76" t="str">
        <f>wyniki!$A$91</f>
        <v>SP18 Płock</v>
      </c>
      <c r="J76" s="79" t="str">
        <f t="shared" si="5"/>
        <v>Płachecki Sebastian</v>
      </c>
      <c r="K76" s="61">
        <f>LARGE($E$2:$E$241,75)</f>
        <v>27.000779999999999</v>
      </c>
      <c r="L76" s="63">
        <f t="shared" si="6"/>
        <v>78</v>
      </c>
      <c r="M76" s="79" t="str">
        <f t="shared" si="7"/>
        <v>SP18 Płock</v>
      </c>
      <c r="N76" s="37">
        <v>75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2:26" ht="17.25" thickTop="1" thickBot="1">
      <c r="B77" t="str">
        <f>wyniki!B95</f>
        <v>Michalski Piotr</v>
      </c>
      <c r="C77" s="56">
        <f>wyniki!E95</f>
        <v>44</v>
      </c>
      <c r="D77" s="18">
        <v>7.6000000000000004E-4</v>
      </c>
      <c r="E77" s="56">
        <f t="shared" si="4"/>
        <v>44.00076</v>
      </c>
      <c r="F77" t="str">
        <f>wyniki!$A$91</f>
        <v>SP18 Płock</v>
      </c>
      <c r="J77" s="79" t="str">
        <f t="shared" si="5"/>
        <v>Maliszewski Jan</v>
      </c>
      <c r="K77" s="61">
        <f>LARGE($E$2:$E$241,76)</f>
        <v>26.500340000000001</v>
      </c>
      <c r="L77" s="63">
        <f t="shared" si="6"/>
        <v>34</v>
      </c>
      <c r="M77" s="79" t="str">
        <f t="shared" si="7"/>
        <v>SP1 Ostrów Maz</v>
      </c>
      <c r="N77" s="37">
        <v>76</v>
      </c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2:26" ht="17.25" thickTop="1" thickBot="1">
      <c r="B78" t="str">
        <f>wyniki!B96</f>
        <v>Olichwiruk Piotr</v>
      </c>
      <c r="C78" s="56">
        <f>wyniki!E96</f>
        <v>29.5</v>
      </c>
      <c r="D78" s="18">
        <v>7.6999999999999996E-4</v>
      </c>
      <c r="E78" s="56">
        <f t="shared" si="4"/>
        <v>29.500769999999999</v>
      </c>
      <c r="F78" t="str">
        <f>wyniki!$A$91</f>
        <v>SP18 Płock</v>
      </c>
      <c r="J78" s="79">
        <f t="shared" si="5"/>
        <v>0</v>
      </c>
      <c r="K78" s="61">
        <f>LARGE($E$2:$E$241,77)</f>
        <v>2.3999999999999998E-3</v>
      </c>
      <c r="L78" s="63">
        <f t="shared" si="6"/>
        <v>240</v>
      </c>
      <c r="M78" s="79">
        <f t="shared" si="7"/>
        <v>0</v>
      </c>
      <c r="N78" s="37">
        <v>77</v>
      </c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2:26" ht="17.25" thickTop="1" thickBot="1">
      <c r="B79" t="str">
        <f>wyniki!B97</f>
        <v>Płachecki Sebastian</v>
      </c>
      <c r="C79" s="56">
        <f>wyniki!E97</f>
        <v>27</v>
      </c>
      <c r="D79" s="18">
        <v>7.7999999999999999E-4</v>
      </c>
      <c r="E79" s="56">
        <f t="shared" si="4"/>
        <v>27.000779999999999</v>
      </c>
      <c r="F79" t="str">
        <f>wyniki!$A$91</f>
        <v>SP18 Płock</v>
      </c>
      <c r="J79" s="79">
        <f t="shared" si="5"/>
        <v>0</v>
      </c>
      <c r="K79" s="61">
        <f>LARGE($E$2:$E$241,78)</f>
        <v>2.3900000000000002E-3</v>
      </c>
      <c r="L79" s="63">
        <f t="shared" si="6"/>
        <v>239</v>
      </c>
      <c r="M79" s="79">
        <f t="shared" si="7"/>
        <v>0</v>
      </c>
      <c r="N79" s="37">
        <v>78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2:26" ht="17.25" thickTop="1" thickBot="1">
      <c r="B80">
        <f>wyniki!B99</f>
        <v>0</v>
      </c>
      <c r="C80" s="56">
        <f>wyniki!E99</f>
        <v>0</v>
      </c>
      <c r="D80" s="18">
        <v>7.9000000000000001E-4</v>
      </c>
      <c r="E80" s="56">
        <f t="shared" si="4"/>
        <v>7.9000000000000001E-4</v>
      </c>
      <c r="F80">
        <f>wyniki!$A$98</f>
        <v>0</v>
      </c>
      <c r="J80" s="79">
        <f t="shared" si="5"/>
        <v>0</v>
      </c>
      <c r="K80" s="61">
        <f>LARGE($E$2:$E$241,79)</f>
        <v>2.3800000000000002E-3</v>
      </c>
      <c r="L80" s="63">
        <f t="shared" si="6"/>
        <v>238</v>
      </c>
      <c r="M80" s="79">
        <f t="shared" si="7"/>
        <v>0</v>
      </c>
      <c r="N80" s="37">
        <v>79</v>
      </c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2:26" ht="17.25" thickTop="1" thickBot="1">
      <c r="B81">
        <f>wyniki!B100</f>
        <v>0</v>
      </c>
      <c r="C81" s="56">
        <f>wyniki!E100</f>
        <v>0</v>
      </c>
      <c r="D81" s="18">
        <v>8.0000000000000004E-4</v>
      </c>
      <c r="E81" s="56">
        <f t="shared" si="4"/>
        <v>8.0000000000000004E-4</v>
      </c>
      <c r="F81">
        <f>wyniki!$A$98</f>
        <v>0</v>
      </c>
      <c r="J81" s="79">
        <f t="shared" si="5"/>
        <v>0</v>
      </c>
      <c r="K81" s="61">
        <f>LARGE($E$2:$E$241,80)</f>
        <v>2.3700000000000001E-3</v>
      </c>
      <c r="L81" s="63">
        <f t="shared" si="6"/>
        <v>237</v>
      </c>
      <c r="M81" s="79">
        <f t="shared" si="7"/>
        <v>0</v>
      </c>
      <c r="N81" s="37">
        <v>80</v>
      </c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2:26" ht="17.25" thickTop="1" thickBot="1">
      <c r="B82">
        <f>wyniki!B101</f>
        <v>0</v>
      </c>
      <c r="C82" s="56">
        <f>wyniki!E101</f>
        <v>0</v>
      </c>
      <c r="D82" s="18">
        <v>8.0999999999999996E-4</v>
      </c>
      <c r="E82" s="56">
        <f t="shared" si="4"/>
        <v>8.0999999999999996E-4</v>
      </c>
      <c r="F82">
        <f>wyniki!$A$98</f>
        <v>0</v>
      </c>
      <c r="J82" s="79">
        <f t="shared" si="5"/>
        <v>0</v>
      </c>
      <c r="K82" s="61">
        <f>LARGE($E$2:$E$241,81)</f>
        <v>2.3600000000000001E-3</v>
      </c>
      <c r="L82" s="63">
        <f t="shared" si="6"/>
        <v>236</v>
      </c>
      <c r="M82" s="79">
        <f t="shared" si="7"/>
        <v>0</v>
      </c>
      <c r="N82" s="37">
        <v>81</v>
      </c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2:26" ht="17.25" thickTop="1" thickBot="1">
      <c r="B83">
        <f>wyniki!B102</f>
        <v>0</v>
      </c>
      <c r="C83" s="56">
        <f>wyniki!E102</f>
        <v>0</v>
      </c>
      <c r="D83" s="18">
        <v>8.1999999999999998E-4</v>
      </c>
      <c r="E83" s="56">
        <f t="shared" si="4"/>
        <v>8.1999999999999998E-4</v>
      </c>
      <c r="F83">
        <f>wyniki!$A$98</f>
        <v>0</v>
      </c>
      <c r="J83" s="79">
        <f t="shared" si="5"/>
        <v>0</v>
      </c>
      <c r="K83" s="61">
        <f>LARGE($E$2:$E$241,82)</f>
        <v>2.3500000000000001E-3</v>
      </c>
      <c r="L83" s="63">
        <f t="shared" si="6"/>
        <v>235</v>
      </c>
      <c r="M83" s="79">
        <f t="shared" si="7"/>
        <v>0</v>
      </c>
      <c r="N83" s="37">
        <v>82</v>
      </c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2:26" ht="17.25" thickTop="1" thickBot="1">
      <c r="B84">
        <f>wyniki!B103</f>
        <v>0</v>
      </c>
      <c r="C84" s="56">
        <f>wyniki!E103</f>
        <v>0</v>
      </c>
      <c r="D84" s="18">
        <v>8.3000000000000001E-4</v>
      </c>
      <c r="E84" s="56">
        <f t="shared" si="4"/>
        <v>8.3000000000000001E-4</v>
      </c>
      <c r="F84">
        <f>wyniki!$A$98</f>
        <v>0</v>
      </c>
      <c r="J84" s="79">
        <f t="shared" si="5"/>
        <v>0</v>
      </c>
      <c r="K84" s="61">
        <f>LARGE($E$2:$E$241,83)</f>
        <v>2.3400000000000001E-3</v>
      </c>
      <c r="L84" s="63">
        <f t="shared" si="6"/>
        <v>234</v>
      </c>
      <c r="M84" s="79">
        <f t="shared" si="7"/>
        <v>0</v>
      </c>
      <c r="N84" s="37">
        <v>83</v>
      </c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2:26" ht="17.25" thickTop="1" thickBot="1">
      <c r="B85">
        <f>wyniki!B104</f>
        <v>0</v>
      </c>
      <c r="C85" s="56">
        <f>wyniki!E104</f>
        <v>0</v>
      </c>
      <c r="D85" s="18">
        <v>8.4000000000000003E-4</v>
      </c>
      <c r="E85" s="56">
        <f t="shared" si="4"/>
        <v>8.4000000000000003E-4</v>
      </c>
      <c r="F85">
        <f>wyniki!$A$98</f>
        <v>0</v>
      </c>
      <c r="J85" s="79">
        <f t="shared" si="5"/>
        <v>0</v>
      </c>
      <c r="K85" s="61">
        <f>LARGE($E$2:$E$241,84)</f>
        <v>2.33E-3</v>
      </c>
      <c r="L85" s="63">
        <f t="shared" si="6"/>
        <v>233</v>
      </c>
      <c r="M85" s="79">
        <f t="shared" si="7"/>
        <v>0</v>
      </c>
      <c r="N85" s="37">
        <v>84</v>
      </c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2:26" ht="17.25" thickTop="1" thickBot="1">
      <c r="B86">
        <f>wyniki!B106</f>
        <v>0</v>
      </c>
      <c r="C86" s="56">
        <f>wyniki!E106</f>
        <v>0</v>
      </c>
      <c r="D86" s="18">
        <v>8.4999999999999995E-4</v>
      </c>
      <c r="E86" s="56">
        <f t="shared" si="4"/>
        <v>8.4999999999999995E-4</v>
      </c>
      <c r="F86">
        <f>wyniki!$A$105</f>
        <v>0</v>
      </c>
      <c r="J86" s="79">
        <f t="shared" si="5"/>
        <v>0</v>
      </c>
      <c r="K86" s="61">
        <f>LARGE($E$2:$E$241,85)</f>
        <v>2.32E-3</v>
      </c>
      <c r="L86" s="63">
        <f t="shared" si="6"/>
        <v>232</v>
      </c>
      <c r="M86" s="79">
        <f t="shared" si="7"/>
        <v>0</v>
      </c>
      <c r="N86" s="37">
        <v>85</v>
      </c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2:26" ht="17.25" thickTop="1" thickBot="1">
      <c r="B87">
        <f>wyniki!B107</f>
        <v>0</v>
      </c>
      <c r="C87" s="56">
        <f>wyniki!E107</f>
        <v>0</v>
      </c>
      <c r="D87" s="18">
        <v>8.5999999999999998E-4</v>
      </c>
      <c r="E87" s="56">
        <f t="shared" si="4"/>
        <v>8.5999999999999998E-4</v>
      </c>
      <c r="F87">
        <f>wyniki!$A$105</f>
        <v>0</v>
      </c>
      <c r="J87" s="79">
        <f t="shared" si="5"/>
        <v>0</v>
      </c>
      <c r="K87" s="61">
        <f>LARGE($E$2:$E$241,86)</f>
        <v>2.31E-3</v>
      </c>
      <c r="L87" s="63">
        <f t="shared" si="6"/>
        <v>231</v>
      </c>
      <c r="M87" s="79">
        <f t="shared" si="7"/>
        <v>0</v>
      </c>
      <c r="N87" s="37">
        <v>86</v>
      </c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2:26" ht="17.25" thickTop="1" thickBot="1">
      <c r="B88">
        <f>wyniki!B108</f>
        <v>0</v>
      </c>
      <c r="C88" s="56">
        <f>wyniki!E108</f>
        <v>0</v>
      </c>
      <c r="D88" s="18">
        <v>8.7000000000000001E-4</v>
      </c>
      <c r="E88" s="56">
        <f t="shared" si="4"/>
        <v>8.7000000000000001E-4</v>
      </c>
      <c r="F88">
        <f>wyniki!$A$105</f>
        <v>0</v>
      </c>
      <c r="J88" s="79">
        <f t="shared" si="5"/>
        <v>0</v>
      </c>
      <c r="K88" s="61">
        <f>LARGE($E$2:$E$241,87)</f>
        <v>2.3E-3</v>
      </c>
      <c r="L88" s="63">
        <f t="shared" si="6"/>
        <v>230</v>
      </c>
      <c r="M88" s="79">
        <f t="shared" si="7"/>
        <v>0</v>
      </c>
      <c r="N88" s="37">
        <v>87</v>
      </c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2:26" ht="17.25" thickTop="1" thickBot="1">
      <c r="B89">
        <f>wyniki!B109</f>
        <v>0</v>
      </c>
      <c r="C89" s="56">
        <f>wyniki!E109</f>
        <v>0</v>
      </c>
      <c r="D89" s="18">
        <v>8.8000000000000003E-4</v>
      </c>
      <c r="E89" s="56">
        <f t="shared" si="4"/>
        <v>8.8000000000000003E-4</v>
      </c>
      <c r="F89">
        <f>wyniki!$A$105</f>
        <v>0</v>
      </c>
      <c r="J89" s="79">
        <f t="shared" si="5"/>
        <v>0</v>
      </c>
      <c r="K89" s="61">
        <f>LARGE($E$2:$E$241,88)</f>
        <v>2.2899999999999999E-3</v>
      </c>
      <c r="L89" s="63">
        <f t="shared" si="6"/>
        <v>229</v>
      </c>
      <c r="M89" s="79">
        <f t="shared" si="7"/>
        <v>0</v>
      </c>
      <c r="N89" s="37">
        <v>88</v>
      </c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2:26" ht="17.25" thickTop="1" thickBot="1">
      <c r="B90">
        <f>wyniki!B110</f>
        <v>0</v>
      </c>
      <c r="C90" s="56">
        <f>wyniki!E110</f>
        <v>0</v>
      </c>
      <c r="D90" s="18">
        <v>8.8999999999999995E-4</v>
      </c>
      <c r="E90" s="56">
        <f t="shared" si="4"/>
        <v>8.8999999999999995E-4</v>
      </c>
      <c r="F90">
        <f>wyniki!$A$105</f>
        <v>0</v>
      </c>
      <c r="J90" s="79">
        <f t="shared" si="5"/>
        <v>0</v>
      </c>
      <c r="K90" s="61">
        <f>LARGE($E$2:$E$241,89)</f>
        <v>2.2799999999999999E-3</v>
      </c>
      <c r="L90" s="63">
        <f t="shared" si="6"/>
        <v>228</v>
      </c>
      <c r="M90" s="79">
        <f t="shared" si="7"/>
        <v>0</v>
      </c>
      <c r="N90" s="37">
        <v>89</v>
      </c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2:26" ht="17.25" thickTop="1" thickBot="1">
      <c r="B91">
        <f>wyniki!B111</f>
        <v>0</v>
      </c>
      <c r="C91" s="56">
        <f>wyniki!E111</f>
        <v>0</v>
      </c>
      <c r="D91" s="18">
        <v>8.9999999999999998E-4</v>
      </c>
      <c r="E91" s="56">
        <f t="shared" si="4"/>
        <v>8.9999999999999998E-4</v>
      </c>
      <c r="F91">
        <f>wyniki!$A$105</f>
        <v>0</v>
      </c>
      <c r="J91" s="79">
        <f t="shared" si="5"/>
        <v>0</v>
      </c>
      <c r="K91" s="61">
        <f>LARGE($E$2:$E$241,90)</f>
        <v>2.2699999999999999E-3</v>
      </c>
      <c r="L91" s="63">
        <f t="shared" si="6"/>
        <v>227</v>
      </c>
      <c r="M91" s="79">
        <f t="shared" si="7"/>
        <v>0</v>
      </c>
      <c r="N91" s="37">
        <v>90</v>
      </c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2:26" ht="17.25" thickTop="1" thickBot="1">
      <c r="B92">
        <f>wyniki!B113</f>
        <v>0</v>
      </c>
      <c r="C92" s="56">
        <f>wyniki!E113</f>
        <v>0</v>
      </c>
      <c r="D92" s="18">
        <v>9.1E-4</v>
      </c>
      <c r="E92" s="56">
        <f t="shared" si="4"/>
        <v>9.1E-4</v>
      </c>
      <c r="F92">
        <f>wyniki!$A$112</f>
        <v>0</v>
      </c>
      <c r="J92" s="79">
        <f t="shared" si="5"/>
        <v>0</v>
      </c>
      <c r="K92" s="61">
        <f>LARGE($E$2:$E$241,91)</f>
        <v>2.2599999999999999E-3</v>
      </c>
      <c r="L92" s="63">
        <f t="shared" si="6"/>
        <v>226</v>
      </c>
      <c r="M92" s="79">
        <f t="shared" si="7"/>
        <v>0</v>
      </c>
      <c r="N92" s="37">
        <v>91</v>
      </c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2:26" ht="17.25" thickTop="1" thickBot="1">
      <c r="B93">
        <f>wyniki!B114</f>
        <v>0</v>
      </c>
      <c r="C93" s="56">
        <f>wyniki!E114</f>
        <v>0</v>
      </c>
      <c r="D93" s="18">
        <v>9.2000000000000003E-4</v>
      </c>
      <c r="E93" s="56">
        <f t="shared" si="4"/>
        <v>9.2000000000000003E-4</v>
      </c>
      <c r="F93">
        <f>wyniki!$A$112</f>
        <v>0</v>
      </c>
      <c r="J93" s="79">
        <f t="shared" si="5"/>
        <v>0</v>
      </c>
      <c r="K93" s="61">
        <f>LARGE($E$2:$E$241,92)</f>
        <v>2.2499999999999998E-3</v>
      </c>
      <c r="L93" s="63">
        <f t="shared" si="6"/>
        <v>225</v>
      </c>
      <c r="M93" s="79">
        <f t="shared" si="7"/>
        <v>0</v>
      </c>
      <c r="N93" s="37">
        <v>92</v>
      </c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2:26" ht="17.25" thickTop="1" thickBot="1">
      <c r="B94">
        <f>wyniki!B115</f>
        <v>0</v>
      </c>
      <c r="C94" s="56">
        <f>wyniki!E115</f>
        <v>0</v>
      </c>
      <c r="D94" s="18">
        <v>9.3000000000000005E-4</v>
      </c>
      <c r="E94" s="56">
        <f t="shared" si="4"/>
        <v>9.3000000000000005E-4</v>
      </c>
      <c r="F94">
        <f>wyniki!$A$112</f>
        <v>0</v>
      </c>
      <c r="J94" s="79">
        <f t="shared" si="5"/>
        <v>0</v>
      </c>
      <c r="K94" s="61">
        <f>LARGE($E$2:$E$241,93)</f>
        <v>2.2399999999999998E-3</v>
      </c>
      <c r="L94" s="63">
        <f t="shared" si="6"/>
        <v>224</v>
      </c>
      <c r="M94" s="79">
        <f t="shared" si="7"/>
        <v>0</v>
      </c>
      <c r="N94" s="37">
        <v>93</v>
      </c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2:26" ht="17.25" thickTop="1" thickBot="1">
      <c r="B95">
        <f>wyniki!B116</f>
        <v>0</v>
      </c>
      <c r="C95" s="56">
        <f>wyniki!E116</f>
        <v>0</v>
      </c>
      <c r="D95" s="18">
        <v>9.3999999999999997E-4</v>
      </c>
      <c r="E95" s="56">
        <f t="shared" si="4"/>
        <v>9.3999999999999997E-4</v>
      </c>
      <c r="F95">
        <f>wyniki!$A$112</f>
        <v>0</v>
      </c>
      <c r="J95" s="79">
        <f t="shared" si="5"/>
        <v>0</v>
      </c>
      <c r="K95" s="61">
        <f>LARGE($E$2:$E$241,94)</f>
        <v>2.2300000000000002E-3</v>
      </c>
      <c r="L95" s="63">
        <f t="shared" si="6"/>
        <v>223</v>
      </c>
      <c r="M95" s="79">
        <f t="shared" si="7"/>
        <v>0</v>
      </c>
      <c r="N95" s="37">
        <v>94</v>
      </c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2:26" ht="17.25" thickTop="1" thickBot="1">
      <c r="B96">
        <f>wyniki!B117</f>
        <v>0</v>
      </c>
      <c r="C96" s="56">
        <f>wyniki!E117</f>
        <v>0</v>
      </c>
      <c r="D96" s="18">
        <v>9.5E-4</v>
      </c>
      <c r="E96" s="56">
        <f t="shared" si="4"/>
        <v>9.5E-4</v>
      </c>
      <c r="F96">
        <f>wyniki!$A$112</f>
        <v>0</v>
      </c>
      <c r="J96" s="79">
        <f t="shared" si="5"/>
        <v>0</v>
      </c>
      <c r="K96" s="61">
        <f>LARGE($E$2:$E$241,95)</f>
        <v>2.2200000000000002E-3</v>
      </c>
      <c r="L96" s="63">
        <f t="shared" si="6"/>
        <v>222</v>
      </c>
      <c r="M96" s="79">
        <f t="shared" si="7"/>
        <v>0</v>
      </c>
      <c r="N96" s="37">
        <v>95</v>
      </c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2:26" ht="17.25" thickTop="1" thickBot="1">
      <c r="B97">
        <f>wyniki!B118</f>
        <v>0</v>
      </c>
      <c r="C97" s="56">
        <f>wyniki!E118</f>
        <v>0</v>
      </c>
      <c r="D97" s="18">
        <v>9.6000000000000002E-4</v>
      </c>
      <c r="E97" s="56">
        <f t="shared" si="4"/>
        <v>9.6000000000000002E-4</v>
      </c>
      <c r="F97">
        <f>wyniki!$A$112</f>
        <v>0</v>
      </c>
      <c r="J97" s="79">
        <f t="shared" si="5"/>
        <v>0</v>
      </c>
      <c r="K97" s="61">
        <f>LARGE($E$2:$E$241,96)</f>
        <v>2.2100000000000002E-3</v>
      </c>
      <c r="L97" s="63">
        <f t="shared" si="6"/>
        <v>221</v>
      </c>
      <c r="M97" s="79">
        <f t="shared" si="7"/>
        <v>0</v>
      </c>
      <c r="N97" s="37">
        <v>96</v>
      </c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2:26" ht="17.25" thickTop="1" thickBot="1">
      <c r="B98">
        <f>wyniki!B120</f>
        <v>0</v>
      </c>
      <c r="C98" s="56">
        <f>wyniki!E120</f>
        <v>0</v>
      </c>
      <c r="D98" s="18">
        <v>9.7000000000000005E-4</v>
      </c>
      <c r="E98" s="56">
        <f t="shared" si="4"/>
        <v>9.7000000000000005E-4</v>
      </c>
      <c r="F98">
        <f>wyniki!$A$119</f>
        <v>0</v>
      </c>
      <c r="J98" s="79">
        <f t="shared" si="5"/>
        <v>0</v>
      </c>
      <c r="K98" s="61">
        <f>LARGE($E$2:$E$241,97)</f>
        <v>2.2000000000000001E-3</v>
      </c>
      <c r="L98" s="63">
        <f t="shared" si="6"/>
        <v>220</v>
      </c>
      <c r="M98" s="79">
        <f t="shared" si="7"/>
        <v>0</v>
      </c>
      <c r="N98" s="37">
        <v>97</v>
      </c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2:26" ht="17.25" thickTop="1" thickBot="1">
      <c r="B99">
        <f>wyniki!B121</f>
        <v>0</v>
      </c>
      <c r="C99" s="56">
        <f>wyniki!E121</f>
        <v>0</v>
      </c>
      <c r="D99" s="18">
        <v>9.7999999999999997E-4</v>
      </c>
      <c r="E99" s="56">
        <f t="shared" si="4"/>
        <v>9.7999999999999997E-4</v>
      </c>
      <c r="F99">
        <f>wyniki!$A$119</f>
        <v>0</v>
      </c>
      <c r="J99" s="79">
        <f t="shared" si="5"/>
        <v>0</v>
      </c>
      <c r="K99" s="61">
        <f>LARGE($E$2:$E$241,98)</f>
        <v>2.1900000000000001E-3</v>
      </c>
      <c r="L99" s="63">
        <f t="shared" si="6"/>
        <v>219</v>
      </c>
      <c r="M99" s="79">
        <f t="shared" si="7"/>
        <v>0</v>
      </c>
      <c r="N99" s="37">
        <v>98</v>
      </c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2:26" ht="17.25" thickTop="1" thickBot="1">
      <c r="B100">
        <f>wyniki!B122</f>
        <v>0</v>
      </c>
      <c r="C100" s="56">
        <f>wyniki!E122</f>
        <v>0</v>
      </c>
      <c r="D100" s="18">
        <v>9.8999999999999999E-4</v>
      </c>
      <c r="E100" s="56">
        <f t="shared" si="4"/>
        <v>9.8999999999999999E-4</v>
      </c>
      <c r="F100">
        <f>wyniki!$A$119</f>
        <v>0</v>
      </c>
      <c r="J100" s="79">
        <f t="shared" si="5"/>
        <v>0</v>
      </c>
      <c r="K100" s="61">
        <f>LARGE($E$2:$E$241,99)</f>
        <v>2.1800000000000001E-3</v>
      </c>
      <c r="L100" s="63">
        <f t="shared" si="6"/>
        <v>218</v>
      </c>
      <c r="M100" s="79">
        <f t="shared" si="7"/>
        <v>0</v>
      </c>
      <c r="N100" s="37">
        <v>99</v>
      </c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2:26" ht="17.25" thickTop="1" thickBot="1">
      <c r="B101">
        <f>wyniki!B123</f>
        <v>0</v>
      </c>
      <c r="C101" s="56">
        <f>wyniki!E123</f>
        <v>0</v>
      </c>
      <c r="D101" s="18">
        <v>1E-3</v>
      </c>
      <c r="E101" s="56">
        <f t="shared" si="4"/>
        <v>1E-3</v>
      </c>
      <c r="F101">
        <f>wyniki!$A$119</f>
        <v>0</v>
      </c>
      <c r="J101" s="79">
        <f t="shared" si="5"/>
        <v>0</v>
      </c>
      <c r="K101" s="61">
        <f>LARGE($E$2:$E$241,100)</f>
        <v>2.1700000000000001E-3</v>
      </c>
      <c r="L101" s="63">
        <f t="shared" si="6"/>
        <v>217</v>
      </c>
      <c r="M101" s="79">
        <f t="shared" si="7"/>
        <v>0</v>
      </c>
      <c r="N101" s="37">
        <v>100</v>
      </c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2:26" ht="17.25" thickTop="1" thickBot="1">
      <c r="B102">
        <f>wyniki!B124</f>
        <v>0</v>
      </c>
      <c r="C102" s="56">
        <f>wyniki!E124</f>
        <v>0</v>
      </c>
      <c r="D102" s="18">
        <v>1.01E-3</v>
      </c>
      <c r="E102" s="56">
        <f t="shared" si="4"/>
        <v>1.01E-3</v>
      </c>
      <c r="F102">
        <f>wyniki!$A$119</f>
        <v>0</v>
      </c>
      <c r="J102" s="79">
        <f t="shared" si="5"/>
        <v>0</v>
      </c>
      <c r="K102" s="61">
        <f>LARGE($E$2:$E$241,101)</f>
        <v>2.16E-3</v>
      </c>
      <c r="L102" s="63">
        <f t="shared" si="6"/>
        <v>216</v>
      </c>
      <c r="M102" s="79">
        <f t="shared" si="7"/>
        <v>0</v>
      </c>
      <c r="N102" s="37">
        <v>101</v>
      </c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2:26" ht="17.25" thickTop="1" thickBot="1">
      <c r="B103">
        <f>wyniki!B125</f>
        <v>0</v>
      </c>
      <c r="C103" s="56">
        <f>wyniki!E125</f>
        <v>0</v>
      </c>
      <c r="D103" s="18">
        <v>1.0200000000000001E-3</v>
      </c>
      <c r="E103" s="56">
        <f t="shared" si="4"/>
        <v>1.0200000000000001E-3</v>
      </c>
      <c r="F103">
        <f>wyniki!$A$119</f>
        <v>0</v>
      </c>
      <c r="J103" s="79">
        <f t="shared" si="5"/>
        <v>0</v>
      </c>
      <c r="K103" s="61">
        <f>LARGE($E$2:$E$241,102)</f>
        <v>2.15E-3</v>
      </c>
      <c r="L103" s="63">
        <f t="shared" si="6"/>
        <v>215</v>
      </c>
      <c r="M103" s="79">
        <f t="shared" si="7"/>
        <v>0</v>
      </c>
      <c r="N103" s="37">
        <v>102</v>
      </c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2:26" ht="17.25" thickTop="1" thickBot="1">
      <c r="B104">
        <f>wyniki!B127</f>
        <v>0</v>
      </c>
      <c r="C104" s="56">
        <f>wyniki!E127</f>
        <v>0</v>
      </c>
      <c r="D104" s="18">
        <v>1.0300000000000001E-3</v>
      </c>
      <c r="E104" s="56">
        <f t="shared" si="4"/>
        <v>1.0300000000000001E-3</v>
      </c>
      <c r="F104">
        <f>wyniki!$A$126</f>
        <v>0</v>
      </c>
      <c r="J104" s="79">
        <f t="shared" si="5"/>
        <v>0</v>
      </c>
      <c r="K104" s="61">
        <f>LARGE($E$2:$E$241,103)</f>
        <v>2.14E-3</v>
      </c>
      <c r="L104" s="63">
        <f t="shared" si="6"/>
        <v>214</v>
      </c>
      <c r="M104" s="79">
        <f t="shared" si="7"/>
        <v>0</v>
      </c>
      <c r="N104" s="37">
        <v>103</v>
      </c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2:26" ht="17.25" thickTop="1" thickBot="1">
      <c r="B105">
        <f>wyniki!B128</f>
        <v>0</v>
      </c>
      <c r="C105" s="56">
        <f>wyniki!E128</f>
        <v>0</v>
      </c>
      <c r="D105" s="18">
        <v>1.0399999999999999E-3</v>
      </c>
      <c r="E105" s="56">
        <f t="shared" si="4"/>
        <v>1.0399999999999999E-3</v>
      </c>
      <c r="F105">
        <f>wyniki!$A$126</f>
        <v>0</v>
      </c>
      <c r="J105" s="79">
        <f t="shared" si="5"/>
        <v>0</v>
      </c>
      <c r="K105" s="61">
        <f>LARGE($E$2:$E$241,104)</f>
        <v>2.1299999999999999E-3</v>
      </c>
      <c r="L105" s="63">
        <f t="shared" si="6"/>
        <v>213</v>
      </c>
      <c r="M105" s="79">
        <f t="shared" si="7"/>
        <v>0</v>
      </c>
      <c r="N105" s="37">
        <v>104</v>
      </c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2:26" ht="17.25" thickTop="1" thickBot="1">
      <c r="B106">
        <f>wyniki!B129</f>
        <v>0</v>
      </c>
      <c r="C106" s="56">
        <f>wyniki!E129</f>
        <v>0</v>
      </c>
      <c r="D106" s="18">
        <v>1.0499999999999999E-3</v>
      </c>
      <c r="E106" s="56">
        <f t="shared" si="4"/>
        <v>1.0499999999999999E-3</v>
      </c>
      <c r="F106">
        <f>wyniki!$A$126</f>
        <v>0</v>
      </c>
      <c r="J106" s="79">
        <f t="shared" si="5"/>
        <v>0</v>
      </c>
      <c r="K106" s="61">
        <f>LARGE($E$2:$E$241,105)</f>
        <v>2.1199999999999999E-3</v>
      </c>
      <c r="L106" s="63">
        <f t="shared" si="6"/>
        <v>212</v>
      </c>
      <c r="M106" s="79">
        <f t="shared" si="7"/>
        <v>0</v>
      </c>
      <c r="N106" s="37">
        <v>105</v>
      </c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2:26" ht="17.25" thickTop="1" thickBot="1">
      <c r="B107">
        <f>wyniki!B130</f>
        <v>0</v>
      </c>
      <c r="C107" s="56">
        <f>wyniki!E130</f>
        <v>0</v>
      </c>
      <c r="D107" s="18">
        <v>1.06E-3</v>
      </c>
      <c r="E107" s="56">
        <f t="shared" si="4"/>
        <v>1.06E-3</v>
      </c>
      <c r="F107">
        <f>wyniki!$A$126</f>
        <v>0</v>
      </c>
      <c r="J107" s="79">
        <f t="shared" si="5"/>
        <v>0</v>
      </c>
      <c r="K107" s="61">
        <f>LARGE($E$2:$E$241,106)</f>
        <v>2.1099999999999999E-3</v>
      </c>
      <c r="L107" s="63">
        <f t="shared" si="6"/>
        <v>211</v>
      </c>
      <c r="M107" s="79">
        <f t="shared" si="7"/>
        <v>0</v>
      </c>
      <c r="N107" s="37">
        <v>106</v>
      </c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2:26" ht="17.25" thickTop="1" thickBot="1">
      <c r="B108">
        <f>wyniki!B131</f>
        <v>0</v>
      </c>
      <c r="C108" s="56">
        <f>wyniki!E131</f>
        <v>0</v>
      </c>
      <c r="D108" s="18">
        <v>1.07E-3</v>
      </c>
      <c r="E108" s="56">
        <f t="shared" si="4"/>
        <v>1.07E-3</v>
      </c>
      <c r="F108">
        <f>wyniki!$A$126</f>
        <v>0</v>
      </c>
      <c r="J108" s="79">
        <f t="shared" si="5"/>
        <v>0</v>
      </c>
      <c r="K108" s="61">
        <f>LARGE($E$2:$E$241,107)</f>
        <v>2.0999999999999999E-3</v>
      </c>
      <c r="L108" s="63">
        <f t="shared" si="6"/>
        <v>210</v>
      </c>
      <c r="M108" s="79">
        <f t="shared" si="7"/>
        <v>0</v>
      </c>
      <c r="N108" s="37">
        <v>107</v>
      </c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2:26" ht="17.25" thickTop="1" thickBot="1">
      <c r="B109">
        <f>wyniki!B132</f>
        <v>0</v>
      </c>
      <c r="C109" s="56">
        <f>wyniki!E132</f>
        <v>0</v>
      </c>
      <c r="D109" s="18">
        <v>1.08E-3</v>
      </c>
      <c r="E109" s="56">
        <f t="shared" si="4"/>
        <v>1.08E-3</v>
      </c>
      <c r="F109">
        <f>wyniki!$A$126</f>
        <v>0</v>
      </c>
      <c r="J109" s="79">
        <f t="shared" si="5"/>
        <v>0</v>
      </c>
      <c r="K109" s="61">
        <f>LARGE($E$2:$E$241,108)</f>
        <v>2.0899999999999998E-3</v>
      </c>
      <c r="L109" s="63">
        <f t="shared" si="6"/>
        <v>209</v>
      </c>
      <c r="M109" s="79">
        <f t="shared" si="7"/>
        <v>0</v>
      </c>
      <c r="N109" s="37">
        <v>108</v>
      </c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2:26" ht="17.25" thickTop="1" thickBot="1">
      <c r="B110">
        <f>wyniki!B134</f>
        <v>0</v>
      </c>
      <c r="C110" s="56">
        <f>wyniki!E134</f>
        <v>0</v>
      </c>
      <c r="D110" s="18">
        <v>1.09E-3</v>
      </c>
      <c r="E110" s="56">
        <f t="shared" si="4"/>
        <v>1.09E-3</v>
      </c>
      <c r="F110">
        <f>wyniki!$A$133</f>
        <v>0</v>
      </c>
      <c r="J110" s="79">
        <f t="shared" si="5"/>
        <v>0</v>
      </c>
      <c r="K110" s="61">
        <f>LARGE($E$2:$E$241,109)</f>
        <v>2.0799999999999998E-3</v>
      </c>
      <c r="L110" s="63">
        <f t="shared" si="6"/>
        <v>208</v>
      </c>
      <c r="M110" s="79">
        <f t="shared" si="7"/>
        <v>0</v>
      </c>
      <c r="N110" s="37">
        <v>109</v>
      </c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2:26" ht="17.25" thickTop="1" thickBot="1">
      <c r="B111">
        <f>wyniki!B135</f>
        <v>0</v>
      </c>
      <c r="C111" s="56">
        <f>wyniki!E135</f>
        <v>0</v>
      </c>
      <c r="D111" s="18">
        <v>1.1000000000000001E-3</v>
      </c>
      <c r="E111" s="56">
        <f t="shared" si="4"/>
        <v>1.1000000000000001E-3</v>
      </c>
      <c r="F111">
        <f>wyniki!$A$133</f>
        <v>0</v>
      </c>
      <c r="J111" s="79">
        <f t="shared" si="5"/>
        <v>0</v>
      </c>
      <c r="K111" s="61">
        <f>LARGE($E$2:$E$241,110)</f>
        <v>2.0699999999999998E-3</v>
      </c>
      <c r="L111" s="63">
        <f t="shared" si="6"/>
        <v>207</v>
      </c>
      <c r="M111" s="79">
        <f t="shared" si="7"/>
        <v>0</v>
      </c>
      <c r="N111" s="37">
        <v>110</v>
      </c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2:26" ht="17.25" thickTop="1" thickBot="1">
      <c r="B112">
        <f>wyniki!B136</f>
        <v>0</v>
      </c>
      <c r="C112" s="56">
        <f>wyniki!E136</f>
        <v>0</v>
      </c>
      <c r="D112" s="18">
        <v>1.1100000000000001E-3</v>
      </c>
      <c r="E112" s="56">
        <f t="shared" si="4"/>
        <v>1.1100000000000001E-3</v>
      </c>
      <c r="F112">
        <f>wyniki!$A$133</f>
        <v>0</v>
      </c>
      <c r="J112" s="79">
        <f t="shared" si="5"/>
        <v>0</v>
      </c>
      <c r="K112" s="61">
        <f>LARGE($E$2:$E$241,111)</f>
        <v>2.0600000000000002E-3</v>
      </c>
      <c r="L112" s="63">
        <f t="shared" si="6"/>
        <v>206</v>
      </c>
      <c r="M112" s="79">
        <f t="shared" si="7"/>
        <v>0</v>
      </c>
      <c r="N112" s="37">
        <v>111</v>
      </c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2:26" ht="17.25" thickTop="1" thickBot="1">
      <c r="B113">
        <f>wyniki!B137</f>
        <v>0</v>
      </c>
      <c r="C113" s="56">
        <f>wyniki!E137</f>
        <v>0</v>
      </c>
      <c r="D113" s="18">
        <v>1.1199999999999999E-3</v>
      </c>
      <c r="E113" s="56">
        <f t="shared" si="4"/>
        <v>1.1199999999999999E-3</v>
      </c>
      <c r="F113">
        <f>wyniki!$A$133</f>
        <v>0</v>
      </c>
      <c r="J113" s="79">
        <f t="shared" si="5"/>
        <v>0</v>
      </c>
      <c r="K113" s="61">
        <f>LARGE($E$2:$E$241,112)</f>
        <v>2.0500000000000002E-3</v>
      </c>
      <c r="L113" s="63">
        <f t="shared" si="6"/>
        <v>205</v>
      </c>
      <c r="M113" s="79">
        <f t="shared" si="7"/>
        <v>0</v>
      </c>
      <c r="N113" s="37">
        <v>112</v>
      </c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2:26" ht="17.25" thickTop="1" thickBot="1">
      <c r="B114">
        <f>wyniki!B138</f>
        <v>0</v>
      </c>
      <c r="C114" s="56">
        <f>wyniki!E138</f>
        <v>0</v>
      </c>
      <c r="D114" s="18">
        <v>1.1299999999999999E-3</v>
      </c>
      <c r="E114" s="56">
        <f t="shared" si="4"/>
        <v>1.1299999999999999E-3</v>
      </c>
      <c r="F114">
        <f>wyniki!$A$133</f>
        <v>0</v>
      </c>
      <c r="J114" s="79">
        <f t="shared" si="5"/>
        <v>0</v>
      </c>
      <c r="K114" s="61">
        <f>LARGE($E$2:$E$241,113)</f>
        <v>2.0400000000000001E-3</v>
      </c>
      <c r="L114" s="63">
        <f t="shared" si="6"/>
        <v>204</v>
      </c>
      <c r="M114" s="79">
        <f t="shared" si="7"/>
        <v>0</v>
      </c>
      <c r="N114" s="37">
        <v>113</v>
      </c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2:26" ht="17.25" thickTop="1" thickBot="1">
      <c r="B115">
        <f>wyniki!B139</f>
        <v>0</v>
      </c>
      <c r="C115" s="56">
        <f>wyniki!E139</f>
        <v>0</v>
      </c>
      <c r="D115" s="18">
        <v>1.14E-3</v>
      </c>
      <c r="E115" s="56">
        <f t="shared" si="4"/>
        <v>1.14E-3</v>
      </c>
      <c r="F115">
        <f>wyniki!$A$133</f>
        <v>0</v>
      </c>
      <c r="J115" s="79">
        <f t="shared" si="5"/>
        <v>0</v>
      </c>
      <c r="K115" s="61">
        <f>LARGE($E$2:$E$241,114)</f>
        <v>2.0300000000000001E-3</v>
      </c>
      <c r="L115" s="63">
        <f t="shared" si="6"/>
        <v>203</v>
      </c>
      <c r="M115" s="79">
        <f t="shared" si="7"/>
        <v>0</v>
      </c>
      <c r="N115" s="37">
        <v>114</v>
      </c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2:26" ht="17.25" thickTop="1" thickBot="1">
      <c r="B116">
        <f>wyniki!B141</f>
        <v>0</v>
      </c>
      <c r="C116" s="56">
        <f>wyniki!E141</f>
        <v>0</v>
      </c>
      <c r="D116" s="18">
        <v>1.15E-3</v>
      </c>
      <c r="E116" s="56">
        <f t="shared" si="4"/>
        <v>1.15E-3</v>
      </c>
      <c r="F116">
        <f>wyniki!$A$140</f>
        <v>0</v>
      </c>
      <c r="J116" s="79">
        <f t="shared" si="5"/>
        <v>0</v>
      </c>
      <c r="K116" s="61">
        <f>LARGE($E$2:$E$241,115)</f>
        <v>2.0200000000000001E-3</v>
      </c>
      <c r="L116" s="63">
        <f t="shared" si="6"/>
        <v>202</v>
      </c>
      <c r="M116" s="79">
        <f t="shared" si="7"/>
        <v>0</v>
      </c>
      <c r="N116" s="37">
        <v>115</v>
      </c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2:26" ht="17.25" thickTop="1" thickBot="1">
      <c r="B117">
        <f>wyniki!B142</f>
        <v>0</v>
      </c>
      <c r="C117" s="56">
        <f>wyniki!E142</f>
        <v>0</v>
      </c>
      <c r="D117" s="18">
        <v>1.16E-3</v>
      </c>
      <c r="E117" s="56">
        <f t="shared" si="4"/>
        <v>1.16E-3</v>
      </c>
      <c r="F117">
        <f>wyniki!$A$140</f>
        <v>0</v>
      </c>
      <c r="J117" s="79">
        <f t="shared" si="5"/>
        <v>0</v>
      </c>
      <c r="K117" s="61">
        <f>LARGE($E$2:$E$241,116)</f>
        <v>2.0100000000000001E-3</v>
      </c>
      <c r="L117" s="63">
        <f t="shared" si="6"/>
        <v>201</v>
      </c>
      <c r="M117" s="79">
        <f t="shared" si="7"/>
        <v>0</v>
      </c>
      <c r="N117" s="37">
        <v>116</v>
      </c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2:26" ht="17.25" thickTop="1" thickBot="1">
      <c r="B118">
        <f>wyniki!B143</f>
        <v>0</v>
      </c>
      <c r="C118" s="56">
        <f>wyniki!E143</f>
        <v>0</v>
      </c>
      <c r="D118" s="18">
        <v>1.17E-3</v>
      </c>
      <c r="E118" s="56">
        <f t="shared" si="4"/>
        <v>1.17E-3</v>
      </c>
      <c r="F118">
        <f>wyniki!$A$140</f>
        <v>0</v>
      </c>
      <c r="J118" s="79">
        <f t="shared" si="5"/>
        <v>0</v>
      </c>
      <c r="K118" s="61">
        <f>LARGE($E$2:$E$241,117)</f>
        <v>2E-3</v>
      </c>
      <c r="L118" s="63">
        <f t="shared" si="6"/>
        <v>200</v>
      </c>
      <c r="M118" s="79">
        <f t="shared" si="7"/>
        <v>0</v>
      </c>
      <c r="N118" s="37">
        <v>117</v>
      </c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2:26" ht="17.25" thickTop="1" thickBot="1">
      <c r="B119">
        <f>wyniki!B144</f>
        <v>0</v>
      </c>
      <c r="C119" s="56">
        <f>wyniki!E144</f>
        <v>0</v>
      </c>
      <c r="D119" s="18">
        <v>1.1800000000000001E-3</v>
      </c>
      <c r="E119" s="56">
        <f t="shared" si="4"/>
        <v>1.1800000000000001E-3</v>
      </c>
      <c r="F119">
        <f>wyniki!$A$140</f>
        <v>0</v>
      </c>
      <c r="J119" s="79">
        <f t="shared" si="5"/>
        <v>0</v>
      </c>
      <c r="K119" s="61">
        <f>LARGE($E$2:$E$241,118)</f>
        <v>1.99E-3</v>
      </c>
      <c r="L119" s="63">
        <f t="shared" si="6"/>
        <v>199</v>
      </c>
      <c r="M119" s="79">
        <f t="shared" si="7"/>
        <v>0</v>
      </c>
      <c r="N119" s="37">
        <v>118</v>
      </c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2:26" ht="17.25" thickTop="1" thickBot="1">
      <c r="B120">
        <f>wyniki!B145</f>
        <v>0</v>
      </c>
      <c r="C120" s="56">
        <f>wyniki!E145</f>
        <v>0</v>
      </c>
      <c r="D120" s="18">
        <v>1.1900000000000001E-3</v>
      </c>
      <c r="E120" s="56">
        <f t="shared" si="4"/>
        <v>1.1900000000000001E-3</v>
      </c>
      <c r="F120">
        <f>wyniki!$A$140</f>
        <v>0</v>
      </c>
      <c r="J120" s="79">
        <f t="shared" si="5"/>
        <v>0</v>
      </c>
      <c r="K120" s="61">
        <f>LARGE($E$2:$E$241,119)</f>
        <v>1.98E-3</v>
      </c>
      <c r="L120" s="63">
        <f t="shared" si="6"/>
        <v>198</v>
      </c>
      <c r="M120" s="79">
        <f t="shared" si="7"/>
        <v>0</v>
      </c>
      <c r="N120" s="37">
        <v>119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2:26" ht="17.25" thickTop="1" thickBot="1">
      <c r="B121">
        <f>wyniki!B146</f>
        <v>0</v>
      </c>
      <c r="C121" s="56">
        <f>wyniki!E146</f>
        <v>0</v>
      </c>
      <c r="D121" s="18">
        <v>1.1999999999999999E-3</v>
      </c>
      <c r="E121" s="56">
        <f t="shared" si="4"/>
        <v>1.1999999999999999E-3</v>
      </c>
      <c r="F121">
        <f>wyniki!$A$140</f>
        <v>0</v>
      </c>
      <c r="J121" s="79">
        <f t="shared" si="5"/>
        <v>0</v>
      </c>
      <c r="K121" s="61">
        <f>LARGE($E$2:$E$241,120)</f>
        <v>1.97E-3</v>
      </c>
      <c r="L121" s="63">
        <f t="shared" si="6"/>
        <v>197</v>
      </c>
      <c r="M121" s="79">
        <f t="shared" si="7"/>
        <v>0</v>
      </c>
      <c r="N121" s="37">
        <v>120</v>
      </c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2:26" ht="17.25" thickTop="1" thickBot="1">
      <c r="B122">
        <f>wyniki!B148</f>
        <v>0</v>
      </c>
      <c r="C122" s="56">
        <f>wyniki!E148</f>
        <v>0</v>
      </c>
      <c r="D122" s="18">
        <v>1.2099999999999999E-3</v>
      </c>
      <c r="E122" s="56">
        <f t="shared" si="4"/>
        <v>1.2099999999999999E-3</v>
      </c>
      <c r="F122">
        <f>wyniki!$A$147</f>
        <v>0</v>
      </c>
      <c r="J122" s="79">
        <f t="shared" si="5"/>
        <v>0</v>
      </c>
      <c r="K122" s="61">
        <f>LARGE($E$2:$E$241,121)</f>
        <v>1.9599999999999999E-3</v>
      </c>
      <c r="L122" s="63">
        <f t="shared" si="6"/>
        <v>196</v>
      </c>
      <c r="M122" s="79">
        <f t="shared" si="7"/>
        <v>0</v>
      </c>
      <c r="N122" s="37">
        <v>121</v>
      </c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2:26" ht="17.25" thickTop="1" thickBot="1">
      <c r="B123">
        <f>wyniki!B149</f>
        <v>0</v>
      </c>
      <c r="C123" s="56">
        <f>wyniki!E149</f>
        <v>0</v>
      </c>
      <c r="D123" s="18">
        <v>1.2199999999999999E-3</v>
      </c>
      <c r="E123" s="56">
        <f t="shared" si="4"/>
        <v>1.2199999999999999E-3</v>
      </c>
      <c r="F123">
        <f>wyniki!$A$147</f>
        <v>0</v>
      </c>
      <c r="J123" s="79">
        <f t="shared" si="5"/>
        <v>0</v>
      </c>
      <c r="K123" s="61">
        <f>LARGE($E$2:$E$241,122)</f>
        <v>1.9499999999999999E-3</v>
      </c>
      <c r="L123" s="63">
        <f t="shared" si="6"/>
        <v>195</v>
      </c>
      <c r="M123" s="79">
        <f t="shared" si="7"/>
        <v>0</v>
      </c>
      <c r="N123" s="37">
        <v>122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2:26" ht="17.25" thickTop="1" thickBot="1">
      <c r="B124">
        <f>wyniki!B150</f>
        <v>0</v>
      </c>
      <c r="C124" s="56">
        <f>wyniki!E150</f>
        <v>0</v>
      </c>
      <c r="D124" s="18">
        <v>1.23E-3</v>
      </c>
      <c r="E124" s="56">
        <f t="shared" si="4"/>
        <v>1.23E-3</v>
      </c>
      <c r="F124">
        <f>wyniki!$A$147</f>
        <v>0</v>
      </c>
      <c r="J124" s="79">
        <f t="shared" si="5"/>
        <v>0</v>
      </c>
      <c r="K124" s="61">
        <f>LARGE($E$2:$E$241,123)</f>
        <v>1.9400000000000001E-3</v>
      </c>
      <c r="L124" s="63">
        <f t="shared" si="6"/>
        <v>194</v>
      </c>
      <c r="M124" s="79">
        <f t="shared" si="7"/>
        <v>0</v>
      </c>
      <c r="N124" s="37">
        <v>123</v>
      </c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2:26" ht="17.25" thickTop="1" thickBot="1">
      <c r="B125">
        <f>wyniki!B151</f>
        <v>0</v>
      </c>
      <c r="C125" s="56">
        <f>wyniki!E151</f>
        <v>0</v>
      </c>
      <c r="D125" s="18">
        <v>1.24E-3</v>
      </c>
      <c r="E125" s="56">
        <f t="shared" si="4"/>
        <v>1.24E-3</v>
      </c>
      <c r="F125">
        <f>wyniki!$A$147</f>
        <v>0</v>
      </c>
      <c r="J125" s="79">
        <f t="shared" si="5"/>
        <v>0</v>
      </c>
      <c r="K125" s="61">
        <f>LARGE($E$2:$E$241,124)</f>
        <v>1.9300000000000001E-3</v>
      </c>
      <c r="L125" s="63">
        <f t="shared" si="6"/>
        <v>193</v>
      </c>
      <c r="M125" s="79">
        <f t="shared" si="7"/>
        <v>0</v>
      </c>
      <c r="N125" s="37">
        <v>124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2:26" ht="17.25" thickTop="1" thickBot="1">
      <c r="B126">
        <f>wyniki!B152</f>
        <v>0</v>
      </c>
      <c r="C126" s="56">
        <f>wyniki!E152</f>
        <v>0</v>
      </c>
      <c r="D126" s="18">
        <v>1.25E-3</v>
      </c>
      <c r="E126" s="56">
        <f t="shared" si="4"/>
        <v>1.25E-3</v>
      </c>
      <c r="F126">
        <f>wyniki!$A$147</f>
        <v>0</v>
      </c>
      <c r="J126" s="79">
        <f t="shared" si="5"/>
        <v>0</v>
      </c>
      <c r="K126" s="61">
        <f>LARGE($E$2:$E$241,125)</f>
        <v>1.92E-3</v>
      </c>
      <c r="L126" s="63">
        <f t="shared" si="6"/>
        <v>192</v>
      </c>
      <c r="M126" s="79">
        <f t="shared" si="7"/>
        <v>0</v>
      </c>
      <c r="N126" s="37">
        <v>125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2:26" ht="17.25" thickTop="1" thickBot="1">
      <c r="B127">
        <f>wyniki!B153</f>
        <v>0</v>
      </c>
      <c r="C127" s="56">
        <f>wyniki!E153</f>
        <v>0</v>
      </c>
      <c r="D127" s="18">
        <v>1.2600000000000001E-3</v>
      </c>
      <c r="E127" s="56">
        <f t="shared" si="4"/>
        <v>1.2600000000000001E-3</v>
      </c>
      <c r="F127">
        <f>wyniki!$A$147</f>
        <v>0</v>
      </c>
      <c r="J127" s="79">
        <f t="shared" si="5"/>
        <v>0</v>
      </c>
      <c r="K127" s="61">
        <f>LARGE($E$2:$E$241,126)</f>
        <v>1.91E-3</v>
      </c>
      <c r="L127" s="63">
        <f t="shared" si="6"/>
        <v>191</v>
      </c>
      <c r="M127" s="79">
        <f t="shared" si="7"/>
        <v>0</v>
      </c>
      <c r="N127" s="37">
        <v>126</v>
      </c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2:26" ht="17.25" thickTop="1" thickBot="1">
      <c r="B128">
        <f>wyniki!B155</f>
        <v>0</v>
      </c>
      <c r="C128" s="56">
        <f>wyniki!E155</f>
        <v>0</v>
      </c>
      <c r="D128" s="18">
        <v>1.2700000000000001E-3</v>
      </c>
      <c r="E128" s="56">
        <f t="shared" si="4"/>
        <v>1.2700000000000001E-3</v>
      </c>
      <c r="F128">
        <f>wyniki!$A$154</f>
        <v>0</v>
      </c>
      <c r="J128" s="79">
        <f t="shared" si="5"/>
        <v>0</v>
      </c>
      <c r="K128" s="61">
        <f>LARGE($E$2:$E$241,127)</f>
        <v>1.9E-3</v>
      </c>
      <c r="L128" s="63">
        <f t="shared" si="6"/>
        <v>190</v>
      </c>
      <c r="M128" s="79">
        <f t="shared" si="7"/>
        <v>0</v>
      </c>
      <c r="N128" s="37">
        <v>127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2:26" ht="17.25" thickTop="1" thickBot="1">
      <c r="B129">
        <f>wyniki!B156</f>
        <v>0</v>
      </c>
      <c r="C129" s="56">
        <f>wyniki!E156</f>
        <v>0</v>
      </c>
      <c r="D129" s="18">
        <v>1.2800000000000001E-3</v>
      </c>
      <c r="E129" s="56">
        <f t="shared" si="4"/>
        <v>1.2800000000000001E-3</v>
      </c>
      <c r="F129">
        <f>wyniki!$A$154</f>
        <v>0</v>
      </c>
      <c r="J129" s="79">
        <f t="shared" si="5"/>
        <v>0</v>
      </c>
      <c r="K129" s="61">
        <f>LARGE($E$2:$E$241,128)</f>
        <v>1.89E-3</v>
      </c>
      <c r="L129" s="63">
        <f t="shared" si="6"/>
        <v>189</v>
      </c>
      <c r="M129" s="79">
        <f t="shared" si="7"/>
        <v>0</v>
      </c>
      <c r="N129" s="37">
        <v>128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2:26" ht="17.25" thickTop="1" thickBot="1">
      <c r="B130">
        <f>wyniki!B157</f>
        <v>0</v>
      </c>
      <c r="C130" s="56">
        <f>wyniki!E157</f>
        <v>0</v>
      </c>
      <c r="D130" s="18">
        <v>1.2899999999999999E-3</v>
      </c>
      <c r="E130" s="56">
        <f t="shared" si="4"/>
        <v>1.2899999999999999E-3</v>
      </c>
      <c r="F130">
        <f>wyniki!$A$154</f>
        <v>0</v>
      </c>
      <c r="J130" s="79">
        <f t="shared" si="5"/>
        <v>0</v>
      </c>
      <c r="K130" s="61">
        <f>LARGE($E$2:$E$241,129)</f>
        <v>1.8799999999999999E-3</v>
      </c>
      <c r="L130" s="63">
        <f t="shared" si="6"/>
        <v>188</v>
      </c>
      <c r="M130" s="79">
        <f t="shared" si="7"/>
        <v>0</v>
      </c>
      <c r="N130" s="37">
        <v>129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2:26" ht="17.25" thickTop="1" thickBot="1">
      <c r="B131">
        <f>wyniki!B158</f>
        <v>0</v>
      </c>
      <c r="C131" s="56">
        <f>wyniki!E158</f>
        <v>0</v>
      </c>
      <c r="D131" s="18">
        <v>1.2999999999999999E-3</v>
      </c>
      <c r="E131" s="56">
        <f t="shared" ref="E131:E194" si="8">C131+D131</f>
        <v>1.2999999999999999E-3</v>
      </c>
      <c r="F131">
        <f>wyniki!$A$154</f>
        <v>0</v>
      </c>
      <c r="J131" s="79">
        <f t="shared" ref="J131:J194" si="9">INDEX($B$2:$E$241,L131,1)</f>
        <v>0</v>
      </c>
      <c r="K131" s="61">
        <f>LARGE($E$2:$E$241,130)</f>
        <v>1.8699999999999999E-3</v>
      </c>
      <c r="L131" s="63">
        <f t="shared" ref="L131:L194" si="10">MATCH(K131,$E$2:$E$241,0)</f>
        <v>187</v>
      </c>
      <c r="M131" s="79">
        <f t="shared" ref="M131:M194" si="11">INDEX($E$2:$F$241,L131,2)</f>
        <v>0</v>
      </c>
      <c r="N131" s="37">
        <v>130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2:26" ht="17.25" thickTop="1" thickBot="1">
      <c r="B132">
        <f>wyniki!B159</f>
        <v>0</v>
      </c>
      <c r="C132" s="56">
        <f>wyniki!E159</f>
        <v>0</v>
      </c>
      <c r="D132" s="18">
        <v>1.31E-3</v>
      </c>
      <c r="E132" s="56">
        <f t="shared" si="8"/>
        <v>1.31E-3</v>
      </c>
      <c r="F132">
        <f>wyniki!$A$154</f>
        <v>0</v>
      </c>
      <c r="J132" s="79">
        <f t="shared" si="9"/>
        <v>0</v>
      </c>
      <c r="K132" s="61">
        <f>LARGE($E$2:$E$241,131)</f>
        <v>1.8600000000000001E-3</v>
      </c>
      <c r="L132" s="63">
        <f t="shared" si="10"/>
        <v>186</v>
      </c>
      <c r="M132" s="79">
        <f t="shared" si="11"/>
        <v>0</v>
      </c>
      <c r="N132" s="37">
        <v>131</v>
      </c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2:26" ht="17.25" thickTop="1" thickBot="1">
      <c r="B133">
        <f>wyniki!B160</f>
        <v>0</v>
      </c>
      <c r="C133" s="56">
        <f>wyniki!E160</f>
        <v>0</v>
      </c>
      <c r="D133" s="18">
        <v>1.32E-3</v>
      </c>
      <c r="E133" s="56">
        <f t="shared" si="8"/>
        <v>1.32E-3</v>
      </c>
      <c r="F133">
        <f>wyniki!$A$154</f>
        <v>0</v>
      </c>
      <c r="J133" s="79">
        <f t="shared" si="9"/>
        <v>0</v>
      </c>
      <c r="K133" s="61">
        <f>LARGE($E$2:$E$241,132)</f>
        <v>1.8500000000000001E-3</v>
      </c>
      <c r="L133" s="63">
        <f t="shared" si="10"/>
        <v>185</v>
      </c>
      <c r="M133" s="79">
        <f t="shared" si="11"/>
        <v>0</v>
      </c>
      <c r="N133" s="37">
        <v>132</v>
      </c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2:26" ht="17.25" thickTop="1" thickBot="1">
      <c r="B134">
        <f>wyniki!B162</f>
        <v>0</v>
      </c>
      <c r="C134" s="56">
        <f>wyniki!E162</f>
        <v>0</v>
      </c>
      <c r="D134" s="18">
        <v>1.33E-3</v>
      </c>
      <c r="E134" s="56">
        <f t="shared" si="8"/>
        <v>1.33E-3</v>
      </c>
      <c r="F134">
        <f>wyniki!$A$161</f>
        <v>0</v>
      </c>
      <c r="J134" s="79">
        <f t="shared" si="9"/>
        <v>0</v>
      </c>
      <c r="K134" s="61">
        <f>LARGE($E$2:$E$241,133)</f>
        <v>1.8400000000000001E-3</v>
      </c>
      <c r="L134" s="63">
        <f t="shared" si="10"/>
        <v>184</v>
      </c>
      <c r="M134" s="79">
        <f t="shared" si="11"/>
        <v>0</v>
      </c>
      <c r="N134" s="37">
        <v>133</v>
      </c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2:26" ht="17.25" thickTop="1" thickBot="1">
      <c r="B135">
        <f>wyniki!B163</f>
        <v>0</v>
      </c>
      <c r="C135" s="56">
        <f>wyniki!E163</f>
        <v>0</v>
      </c>
      <c r="D135" s="18">
        <v>1.34E-3</v>
      </c>
      <c r="E135" s="56">
        <f t="shared" si="8"/>
        <v>1.34E-3</v>
      </c>
      <c r="F135">
        <f>wyniki!$A$161</f>
        <v>0</v>
      </c>
      <c r="J135" s="79">
        <f t="shared" si="9"/>
        <v>0</v>
      </c>
      <c r="K135" s="61">
        <f>LARGE($E$2:$E$241,134)</f>
        <v>1.83E-3</v>
      </c>
      <c r="L135" s="63">
        <f t="shared" si="10"/>
        <v>183</v>
      </c>
      <c r="M135" s="79">
        <f t="shared" si="11"/>
        <v>0</v>
      </c>
      <c r="N135" s="37">
        <v>134</v>
      </c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2:26" ht="17.25" thickTop="1" thickBot="1">
      <c r="B136">
        <f>wyniki!B164</f>
        <v>0</v>
      </c>
      <c r="C136" s="56">
        <f>wyniki!E164</f>
        <v>0</v>
      </c>
      <c r="D136" s="18">
        <v>1.3500000000000001E-3</v>
      </c>
      <c r="E136" s="56">
        <f t="shared" si="8"/>
        <v>1.3500000000000001E-3</v>
      </c>
      <c r="F136">
        <f>wyniki!$A$161</f>
        <v>0</v>
      </c>
      <c r="J136" s="79">
        <f t="shared" si="9"/>
        <v>0</v>
      </c>
      <c r="K136" s="61">
        <f>LARGE($E$2:$E$241,135)</f>
        <v>1.82E-3</v>
      </c>
      <c r="L136" s="63">
        <f t="shared" si="10"/>
        <v>182</v>
      </c>
      <c r="M136" s="79">
        <f t="shared" si="11"/>
        <v>0</v>
      </c>
      <c r="N136" s="37">
        <v>135</v>
      </c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2:26" ht="17.25" thickTop="1" thickBot="1">
      <c r="B137">
        <f>wyniki!B165</f>
        <v>0</v>
      </c>
      <c r="C137" s="56">
        <f>wyniki!E165</f>
        <v>0</v>
      </c>
      <c r="D137" s="18">
        <v>1.3600000000000001E-3</v>
      </c>
      <c r="E137" s="56">
        <f t="shared" si="8"/>
        <v>1.3600000000000001E-3</v>
      </c>
      <c r="F137">
        <f>wyniki!$A$161</f>
        <v>0</v>
      </c>
      <c r="J137" s="79">
        <f t="shared" si="9"/>
        <v>0</v>
      </c>
      <c r="K137" s="61">
        <f>LARGE($E$2:$E$241,136)</f>
        <v>1.81E-3</v>
      </c>
      <c r="L137" s="63">
        <f t="shared" si="10"/>
        <v>181</v>
      </c>
      <c r="M137" s="79">
        <f t="shared" si="11"/>
        <v>0</v>
      </c>
      <c r="N137" s="37">
        <v>136</v>
      </c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2:26" ht="17.25" thickTop="1" thickBot="1">
      <c r="B138">
        <f>wyniki!B166</f>
        <v>0</v>
      </c>
      <c r="C138" s="56">
        <f>wyniki!E166</f>
        <v>0</v>
      </c>
      <c r="D138" s="18">
        <v>1.3699999999999999E-3</v>
      </c>
      <c r="E138" s="56">
        <f t="shared" si="8"/>
        <v>1.3699999999999999E-3</v>
      </c>
      <c r="F138">
        <f>wyniki!$A$161</f>
        <v>0</v>
      </c>
      <c r="J138" s="79">
        <f t="shared" si="9"/>
        <v>0</v>
      </c>
      <c r="K138" s="61">
        <f>LARGE($E$2:$E$241,137)</f>
        <v>1.8E-3</v>
      </c>
      <c r="L138" s="63">
        <f t="shared" si="10"/>
        <v>180</v>
      </c>
      <c r="M138" s="79">
        <f t="shared" si="11"/>
        <v>0</v>
      </c>
      <c r="N138" s="37">
        <v>137</v>
      </c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2:26" ht="17.25" thickTop="1" thickBot="1">
      <c r="B139">
        <f>wyniki!B167</f>
        <v>0</v>
      </c>
      <c r="C139" s="56">
        <f>wyniki!E167</f>
        <v>0</v>
      </c>
      <c r="D139" s="18">
        <v>1.3799999999999999E-3</v>
      </c>
      <c r="E139" s="56">
        <f t="shared" si="8"/>
        <v>1.3799999999999999E-3</v>
      </c>
      <c r="F139">
        <f>wyniki!$A$161</f>
        <v>0</v>
      </c>
      <c r="J139" s="79">
        <f t="shared" si="9"/>
        <v>0</v>
      </c>
      <c r="K139" s="61">
        <f>LARGE($E$2:$E$241,138)</f>
        <v>1.7899999999999999E-3</v>
      </c>
      <c r="L139" s="63">
        <f t="shared" si="10"/>
        <v>179</v>
      </c>
      <c r="M139" s="79">
        <f t="shared" si="11"/>
        <v>0</v>
      </c>
      <c r="N139" s="37">
        <v>138</v>
      </c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2:26" ht="17.25" thickTop="1" thickBot="1">
      <c r="B140">
        <f>wyniki!B169</f>
        <v>0</v>
      </c>
      <c r="C140" s="56">
        <f>wyniki!E169</f>
        <v>0</v>
      </c>
      <c r="D140" s="18">
        <v>1.39E-3</v>
      </c>
      <c r="E140" s="56">
        <f t="shared" si="8"/>
        <v>1.39E-3</v>
      </c>
      <c r="F140">
        <f>wyniki!$A$168</f>
        <v>0</v>
      </c>
      <c r="J140" s="79">
        <f t="shared" si="9"/>
        <v>0</v>
      </c>
      <c r="K140" s="61">
        <f>LARGE($E$2:$E$241,139)</f>
        <v>1.7799999999999999E-3</v>
      </c>
      <c r="L140" s="63">
        <f t="shared" si="10"/>
        <v>178</v>
      </c>
      <c r="M140" s="79">
        <f t="shared" si="11"/>
        <v>0</v>
      </c>
      <c r="N140" s="37">
        <v>139</v>
      </c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2:26" ht="17.25" thickTop="1" thickBot="1">
      <c r="B141">
        <f>wyniki!B170</f>
        <v>0</v>
      </c>
      <c r="C141" s="56">
        <f>wyniki!E170</f>
        <v>0</v>
      </c>
      <c r="D141" s="18">
        <v>1.4E-3</v>
      </c>
      <c r="E141" s="56">
        <f t="shared" si="8"/>
        <v>1.4E-3</v>
      </c>
      <c r="F141">
        <f>wyniki!$A$168</f>
        <v>0</v>
      </c>
      <c r="J141" s="79">
        <f t="shared" si="9"/>
        <v>0</v>
      </c>
      <c r="K141" s="61">
        <f>LARGE($E$2:$E$241,140)</f>
        <v>1.7700000000000001E-3</v>
      </c>
      <c r="L141" s="63">
        <f t="shared" si="10"/>
        <v>177</v>
      </c>
      <c r="M141" s="79">
        <f t="shared" si="11"/>
        <v>0</v>
      </c>
      <c r="N141" s="37">
        <v>140</v>
      </c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2:26" ht="17.25" thickTop="1" thickBot="1">
      <c r="B142">
        <f>wyniki!B171</f>
        <v>0</v>
      </c>
      <c r="C142" s="56">
        <f>wyniki!E171</f>
        <v>0</v>
      </c>
      <c r="D142" s="18">
        <v>1.41E-3</v>
      </c>
      <c r="E142" s="56">
        <f t="shared" si="8"/>
        <v>1.41E-3</v>
      </c>
      <c r="F142">
        <f>wyniki!$A$168</f>
        <v>0</v>
      </c>
      <c r="J142" s="79">
        <f t="shared" si="9"/>
        <v>0</v>
      </c>
      <c r="K142" s="61">
        <f>LARGE($E$2:$E$241,141)</f>
        <v>1.7600000000000001E-3</v>
      </c>
      <c r="L142" s="63">
        <f t="shared" si="10"/>
        <v>176</v>
      </c>
      <c r="M142" s="79">
        <f t="shared" si="11"/>
        <v>0</v>
      </c>
      <c r="N142" s="37">
        <v>141</v>
      </c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2:26" ht="17.25" thickTop="1" thickBot="1">
      <c r="B143">
        <f>wyniki!B172</f>
        <v>0</v>
      </c>
      <c r="C143" s="56">
        <f>wyniki!E172</f>
        <v>0</v>
      </c>
      <c r="D143" s="18">
        <v>1.42E-3</v>
      </c>
      <c r="E143" s="56">
        <f t="shared" si="8"/>
        <v>1.42E-3</v>
      </c>
      <c r="F143">
        <f>wyniki!$A$168</f>
        <v>0</v>
      </c>
      <c r="J143" s="79">
        <f t="shared" si="9"/>
        <v>0</v>
      </c>
      <c r="K143" s="61">
        <f>LARGE($E$2:$E$241,142)</f>
        <v>1.75E-3</v>
      </c>
      <c r="L143" s="63">
        <f t="shared" si="10"/>
        <v>175</v>
      </c>
      <c r="M143" s="79">
        <f t="shared" si="11"/>
        <v>0</v>
      </c>
      <c r="N143" s="37">
        <v>142</v>
      </c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2:26" ht="17.25" thickTop="1" thickBot="1">
      <c r="B144">
        <f>wyniki!B173</f>
        <v>0</v>
      </c>
      <c r="C144" s="56">
        <f>wyniki!E173</f>
        <v>0</v>
      </c>
      <c r="D144" s="18">
        <v>1.4300000000000001E-3</v>
      </c>
      <c r="E144" s="56">
        <f t="shared" si="8"/>
        <v>1.4300000000000001E-3</v>
      </c>
      <c r="F144">
        <f>wyniki!$A$168</f>
        <v>0</v>
      </c>
      <c r="J144" s="79">
        <f t="shared" si="9"/>
        <v>0</v>
      </c>
      <c r="K144" s="61">
        <f>LARGE($E$2:$E$241,143)</f>
        <v>1.74E-3</v>
      </c>
      <c r="L144" s="63">
        <f t="shared" si="10"/>
        <v>174</v>
      </c>
      <c r="M144" s="79">
        <f t="shared" si="11"/>
        <v>0</v>
      </c>
      <c r="N144" s="37">
        <v>143</v>
      </c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2:26" ht="17.25" thickTop="1" thickBot="1">
      <c r="B145">
        <f>wyniki!B174</f>
        <v>0</v>
      </c>
      <c r="C145" s="56">
        <f>wyniki!E174</f>
        <v>0</v>
      </c>
      <c r="D145" s="18">
        <v>1.4400000000000001E-3</v>
      </c>
      <c r="E145" s="56">
        <f t="shared" si="8"/>
        <v>1.4400000000000001E-3</v>
      </c>
      <c r="F145">
        <f>wyniki!$A$168</f>
        <v>0</v>
      </c>
      <c r="J145" s="79">
        <f t="shared" si="9"/>
        <v>0</v>
      </c>
      <c r="K145" s="61">
        <f>LARGE($E$2:$E$241,144)</f>
        <v>1.73E-3</v>
      </c>
      <c r="L145" s="63">
        <f t="shared" si="10"/>
        <v>173</v>
      </c>
      <c r="M145" s="79">
        <f t="shared" si="11"/>
        <v>0</v>
      </c>
      <c r="N145" s="37">
        <v>144</v>
      </c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2:26" ht="17.25" thickTop="1" thickBot="1">
      <c r="B146">
        <f>wyniki!B176</f>
        <v>0</v>
      </c>
      <c r="C146" s="56">
        <f>wyniki!E176</f>
        <v>0</v>
      </c>
      <c r="D146" s="18">
        <v>1.4499999999999999E-3</v>
      </c>
      <c r="E146" s="56">
        <f t="shared" si="8"/>
        <v>1.4499999999999999E-3</v>
      </c>
      <c r="F146">
        <f>wyniki!$A$175</f>
        <v>0</v>
      </c>
      <c r="J146" s="79">
        <f t="shared" si="9"/>
        <v>0</v>
      </c>
      <c r="K146" s="61">
        <f>LARGE($E$2:$E$241,145)</f>
        <v>1.72E-3</v>
      </c>
      <c r="L146" s="63">
        <f t="shared" si="10"/>
        <v>172</v>
      </c>
      <c r="M146" s="79">
        <f t="shared" si="11"/>
        <v>0</v>
      </c>
      <c r="N146" s="37">
        <v>145</v>
      </c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2:26" ht="17.25" thickTop="1" thickBot="1">
      <c r="B147">
        <f>wyniki!B177</f>
        <v>0</v>
      </c>
      <c r="C147" s="56">
        <f>wyniki!E177</f>
        <v>0</v>
      </c>
      <c r="D147" s="18">
        <v>1.4599999999999999E-3</v>
      </c>
      <c r="E147" s="56">
        <f t="shared" si="8"/>
        <v>1.4599999999999999E-3</v>
      </c>
      <c r="F147">
        <f>wyniki!$A$175</f>
        <v>0</v>
      </c>
      <c r="J147" s="79">
        <f t="shared" si="9"/>
        <v>0</v>
      </c>
      <c r="K147" s="61">
        <f>LARGE($E$2:$E$241,146)</f>
        <v>1.7099999999999999E-3</v>
      </c>
      <c r="L147" s="63">
        <f t="shared" si="10"/>
        <v>171</v>
      </c>
      <c r="M147" s="79">
        <f t="shared" si="11"/>
        <v>0</v>
      </c>
      <c r="N147" s="37">
        <v>146</v>
      </c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2:26" ht="17.25" thickTop="1" thickBot="1">
      <c r="B148">
        <f>wyniki!B178</f>
        <v>0</v>
      </c>
      <c r="C148" s="56">
        <f>wyniki!E178</f>
        <v>0</v>
      </c>
      <c r="D148" s="18">
        <v>1.47E-3</v>
      </c>
      <c r="E148" s="56">
        <f t="shared" si="8"/>
        <v>1.47E-3</v>
      </c>
      <c r="F148">
        <f>wyniki!$A$175</f>
        <v>0</v>
      </c>
      <c r="J148" s="79">
        <f t="shared" si="9"/>
        <v>0</v>
      </c>
      <c r="K148" s="61">
        <f>LARGE($E$2:$E$241,147)</f>
        <v>1.6999999999999999E-3</v>
      </c>
      <c r="L148" s="63">
        <f t="shared" si="10"/>
        <v>170</v>
      </c>
      <c r="M148" s="79">
        <f t="shared" si="11"/>
        <v>0</v>
      </c>
      <c r="N148" s="37">
        <v>147</v>
      </c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2:26" ht="17.25" thickTop="1" thickBot="1">
      <c r="B149">
        <f>wyniki!B179</f>
        <v>0</v>
      </c>
      <c r="C149" s="56">
        <f>wyniki!E179</f>
        <v>0</v>
      </c>
      <c r="D149" s="18">
        <v>1.48E-3</v>
      </c>
      <c r="E149" s="56">
        <f t="shared" si="8"/>
        <v>1.48E-3</v>
      </c>
      <c r="F149">
        <f>wyniki!$A$175</f>
        <v>0</v>
      </c>
      <c r="J149" s="79">
        <f t="shared" si="9"/>
        <v>0</v>
      </c>
      <c r="K149" s="61">
        <f>LARGE($E$2:$E$241,148)</f>
        <v>1.6900000000000001E-3</v>
      </c>
      <c r="L149" s="63">
        <f t="shared" si="10"/>
        <v>169</v>
      </c>
      <c r="M149" s="79">
        <f t="shared" si="11"/>
        <v>0</v>
      </c>
      <c r="N149" s="37">
        <v>148</v>
      </c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2:26" ht="17.25" thickTop="1" thickBot="1">
      <c r="B150">
        <f>wyniki!B180</f>
        <v>0</v>
      </c>
      <c r="C150" s="56">
        <f>wyniki!E180</f>
        <v>0</v>
      </c>
      <c r="D150" s="18">
        <v>1.49E-3</v>
      </c>
      <c r="E150" s="56">
        <f t="shared" si="8"/>
        <v>1.49E-3</v>
      </c>
      <c r="F150">
        <f>wyniki!$A$175</f>
        <v>0</v>
      </c>
      <c r="J150" s="79">
        <f t="shared" si="9"/>
        <v>0</v>
      </c>
      <c r="K150" s="61">
        <f>LARGE($E$2:$E$241,149)</f>
        <v>1.6800000000000001E-3</v>
      </c>
      <c r="L150" s="63">
        <f t="shared" si="10"/>
        <v>168</v>
      </c>
      <c r="M150" s="79">
        <f t="shared" si="11"/>
        <v>0</v>
      </c>
      <c r="N150" s="37">
        <v>149</v>
      </c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2:26" ht="17.25" thickTop="1" thickBot="1">
      <c r="B151">
        <f>wyniki!B181</f>
        <v>0</v>
      </c>
      <c r="C151" s="56">
        <f>wyniki!E181</f>
        <v>0</v>
      </c>
      <c r="D151" s="18">
        <v>1.5E-3</v>
      </c>
      <c r="E151" s="56">
        <f t="shared" si="8"/>
        <v>1.5E-3</v>
      </c>
      <c r="F151">
        <f>wyniki!$A$175</f>
        <v>0</v>
      </c>
      <c r="J151" s="79">
        <f t="shared" si="9"/>
        <v>0</v>
      </c>
      <c r="K151" s="61">
        <f>LARGE($E$2:$E$241,150)</f>
        <v>1.67E-3</v>
      </c>
      <c r="L151" s="63">
        <f t="shared" si="10"/>
        <v>167</v>
      </c>
      <c r="M151" s="79">
        <f t="shared" si="11"/>
        <v>0</v>
      </c>
      <c r="N151" s="37">
        <v>150</v>
      </c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2:26" ht="17.25" thickTop="1" thickBot="1">
      <c r="B152">
        <f>wyniki!B183</f>
        <v>0</v>
      </c>
      <c r="C152" s="56">
        <f>wyniki!E183</f>
        <v>0</v>
      </c>
      <c r="D152" s="18">
        <v>1.5100000000000001E-3</v>
      </c>
      <c r="E152" s="56">
        <f t="shared" si="8"/>
        <v>1.5100000000000001E-3</v>
      </c>
      <c r="F152">
        <f>wyniki!$A$182</f>
        <v>0</v>
      </c>
      <c r="J152" s="79">
        <f t="shared" si="9"/>
        <v>0</v>
      </c>
      <c r="K152" s="61">
        <f>LARGE($E$2:$E$241,151)</f>
        <v>1.66E-3</v>
      </c>
      <c r="L152" s="63">
        <f t="shared" si="10"/>
        <v>166</v>
      </c>
      <c r="M152" s="79">
        <f t="shared" si="11"/>
        <v>0</v>
      </c>
      <c r="N152" s="37">
        <v>151</v>
      </c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2:26" ht="17.25" thickTop="1" thickBot="1">
      <c r="B153">
        <f>wyniki!B184</f>
        <v>0</v>
      </c>
      <c r="C153" s="56">
        <f>wyniki!E184</f>
        <v>0</v>
      </c>
      <c r="D153" s="18">
        <v>1.5200000000000001E-3</v>
      </c>
      <c r="E153" s="56">
        <f t="shared" si="8"/>
        <v>1.5200000000000001E-3</v>
      </c>
      <c r="F153">
        <f>wyniki!$A$182</f>
        <v>0</v>
      </c>
      <c r="J153" s="79">
        <f t="shared" si="9"/>
        <v>0</v>
      </c>
      <c r="K153" s="61">
        <f>LARGE($E$2:$E$241,152)</f>
        <v>1.65E-3</v>
      </c>
      <c r="L153" s="63">
        <f t="shared" si="10"/>
        <v>165</v>
      </c>
      <c r="M153" s="79">
        <f t="shared" si="11"/>
        <v>0</v>
      </c>
      <c r="N153" s="37">
        <v>152</v>
      </c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2:26" ht="17.25" thickTop="1" thickBot="1">
      <c r="B154">
        <f>wyniki!B185</f>
        <v>0</v>
      </c>
      <c r="C154" s="56">
        <f>wyniki!E185</f>
        <v>0</v>
      </c>
      <c r="D154" s="18">
        <v>1.5299999999999999E-3</v>
      </c>
      <c r="E154" s="56">
        <f t="shared" si="8"/>
        <v>1.5299999999999999E-3</v>
      </c>
      <c r="F154">
        <f>wyniki!$A$182</f>
        <v>0</v>
      </c>
      <c r="J154" s="79">
        <f t="shared" si="9"/>
        <v>0</v>
      </c>
      <c r="K154" s="61">
        <f>LARGE($E$2:$E$241,153)</f>
        <v>1.64E-3</v>
      </c>
      <c r="L154" s="63">
        <f t="shared" si="10"/>
        <v>164</v>
      </c>
      <c r="M154" s="79">
        <f t="shared" si="11"/>
        <v>0</v>
      </c>
      <c r="N154" s="37">
        <v>153</v>
      </c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2:26" ht="17.25" thickTop="1" thickBot="1">
      <c r="B155">
        <f>wyniki!B186</f>
        <v>0</v>
      </c>
      <c r="C155" s="56">
        <f>wyniki!E186</f>
        <v>0</v>
      </c>
      <c r="D155" s="18">
        <v>1.5399999999999999E-3</v>
      </c>
      <c r="E155" s="56">
        <f t="shared" si="8"/>
        <v>1.5399999999999999E-3</v>
      </c>
      <c r="F155">
        <f>wyniki!$A$182</f>
        <v>0</v>
      </c>
      <c r="J155" s="79">
        <f t="shared" si="9"/>
        <v>0</v>
      </c>
      <c r="K155" s="61">
        <f>LARGE($E$2:$E$241,154)</f>
        <v>1.6299999999999999E-3</v>
      </c>
      <c r="L155" s="63">
        <f t="shared" si="10"/>
        <v>163</v>
      </c>
      <c r="M155" s="79">
        <f t="shared" si="11"/>
        <v>0</v>
      </c>
      <c r="N155" s="37">
        <v>154</v>
      </c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2:26" ht="17.25" thickTop="1" thickBot="1">
      <c r="B156">
        <f>wyniki!B187</f>
        <v>0</v>
      </c>
      <c r="C156" s="56">
        <f>wyniki!E187</f>
        <v>0</v>
      </c>
      <c r="D156" s="18">
        <v>1.5499999999999999E-3</v>
      </c>
      <c r="E156" s="56">
        <f t="shared" si="8"/>
        <v>1.5499999999999999E-3</v>
      </c>
      <c r="F156">
        <f>wyniki!$A$182</f>
        <v>0</v>
      </c>
      <c r="J156" s="79">
        <f t="shared" si="9"/>
        <v>0</v>
      </c>
      <c r="K156" s="61">
        <f>LARGE($E$2:$E$241,155)</f>
        <v>1.6199999999999999E-3</v>
      </c>
      <c r="L156" s="63">
        <f t="shared" si="10"/>
        <v>162</v>
      </c>
      <c r="M156" s="79">
        <f t="shared" si="11"/>
        <v>0</v>
      </c>
      <c r="N156" s="37">
        <v>155</v>
      </c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2:26" ht="17.25" thickTop="1" thickBot="1">
      <c r="B157">
        <f>wyniki!B188</f>
        <v>0</v>
      </c>
      <c r="C157" s="56">
        <f>wyniki!E188</f>
        <v>0</v>
      </c>
      <c r="D157" s="18">
        <v>1.56E-3</v>
      </c>
      <c r="E157" s="56">
        <f t="shared" si="8"/>
        <v>1.56E-3</v>
      </c>
      <c r="F157">
        <f>wyniki!$A$182</f>
        <v>0</v>
      </c>
      <c r="J157" s="79">
        <f t="shared" si="9"/>
        <v>0</v>
      </c>
      <c r="K157" s="61">
        <f>LARGE($E$2:$E$241,156)</f>
        <v>1.6100000000000001E-3</v>
      </c>
      <c r="L157" s="63">
        <f t="shared" si="10"/>
        <v>161</v>
      </c>
      <c r="M157" s="79">
        <f t="shared" si="11"/>
        <v>0</v>
      </c>
      <c r="N157" s="37">
        <v>156</v>
      </c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2:26" ht="17.25" thickTop="1" thickBot="1">
      <c r="B158">
        <f>wyniki!B190</f>
        <v>0</v>
      </c>
      <c r="C158" s="56">
        <f>wyniki!E190</f>
        <v>0</v>
      </c>
      <c r="D158" s="18">
        <v>1.57E-3</v>
      </c>
      <c r="E158" s="56">
        <f t="shared" si="8"/>
        <v>1.57E-3</v>
      </c>
      <c r="F158">
        <f>wyniki!$A$189</f>
        <v>0</v>
      </c>
      <c r="J158" s="79">
        <f t="shared" si="9"/>
        <v>0</v>
      </c>
      <c r="K158" s="61">
        <f>LARGE($E$2:$E$241,157)</f>
        <v>1.6000000000000001E-3</v>
      </c>
      <c r="L158" s="63">
        <f t="shared" si="10"/>
        <v>160</v>
      </c>
      <c r="M158" s="79">
        <f t="shared" si="11"/>
        <v>0</v>
      </c>
      <c r="N158" s="37">
        <v>157</v>
      </c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2:26" ht="17.25" thickTop="1" thickBot="1">
      <c r="B159">
        <f>wyniki!B191</f>
        <v>0</v>
      </c>
      <c r="C159" s="56">
        <f>wyniki!E191</f>
        <v>0</v>
      </c>
      <c r="D159" s="18">
        <v>1.58E-3</v>
      </c>
      <c r="E159" s="56">
        <f t="shared" si="8"/>
        <v>1.58E-3</v>
      </c>
      <c r="F159">
        <f>wyniki!$A$189</f>
        <v>0</v>
      </c>
      <c r="J159" s="79">
        <f t="shared" si="9"/>
        <v>0</v>
      </c>
      <c r="K159" s="61">
        <f>LARGE($E$2:$E$241,158)</f>
        <v>1.5900000000000001E-3</v>
      </c>
      <c r="L159" s="63">
        <f t="shared" si="10"/>
        <v>159</v>
      </c>
      <c r="M159" s="79">
        <f t="shared" si="11"/>
        <v>0</v>
      </c>
      <c r="N159" s="37">
        <v>158</v>
      </c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2:26" ht="17.25" thickTop="1" thickBot="1">
      <c r="B160">
        <f>wyniki!B192</f>
        <v>0</v>
      </c>
      <c r="C160" s="56">
        <f>wyniki!E192</f>
        <v>0</v>
      </c>
      <c r="D160" s="18">
        <v>1.5900000000000001E-3</v>
      </c>
      <c r="E160" s="56">
        <f t="shared" si="8"/>
        <v>1.5900000000000001E-3</v>
      </c>
      <c r="F160">
        <f>wyniki!$A$189</f>
        <v>0</v>
      </c>
      <c r="J160" s="79">
        <f t="shared" si="9"/>
        <v>0</v>
      </c>
      <c r="K160" s="61">
        <f>LARGE($E$2:$E$241,159)</f>
        <v>1.58E-3</v>
      </c>
      <c r="L160" s="63">
        <f t="shared" si="10"/>
        <v>158</v>
      </c>
      <c r="M160" s="79">
        <f t="shared" si="11"/>
        <v>0</v>
      </c>
      <c r="N160" s="37">
        <v>159</v>
      </c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2:26" ht="17.25" thickTop="1" thickBot="1">
      <c r="B161">
        <f>wyniki!B193</f>
        <v>0</v>
      </c>
      <c r="C161" s="56">
        <f>wyniki!E193</f>
        <v>0</v>
      </c>
      <c r="D161" s="18">
        <v>1.6000000000000001E-3</v>
      </c>
      <c r="E161" s="56">
        <f t="shared" si="8"/>
        <v>1.6000000000000001E-3</v>
      </c>
      <c r="F161">
        <f>wyniki!$A$189</f>
        <v>0</v>
      </c>
      <c r="J161" s="79">
        <f t="shared" si="9"/>
        <v>0</v>
      </c>
      <c r="K161" s="61">
        <f>LARGE($E$2:$E$241,160)</f>
        <v>1.57E-3</v>
      </c>
      <c r="L161" s="63">
        <f t="shared" si="10"/>
        <v>157</v>
      </c>
      <c r="M161" s="79">
        <f t="shared" si="11"/>
        <v>0</v>
      </c>
      <c r="N161" s="37">
        <v>160</v>
      </c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2:26" ht="17.25" thickTop="1" thickBot="1">
      <c r="B162">
        <f>wyniki!B194</f>
        <v>0</v>
      </c>
      <c r="C162" s="56">
        <f>wyniki!E194</f>
        <v>0</v>
      </c>
      <c r="D162" s="18">
        <v>1.6100000000000001E-3</v>
      </c>
      <c r="E162" s="56">
        <f t="shared" si="8"/>
        <v>1.6100000000000001E-3</v>
      </c>
      <c r="F162">
        <f>wyniki!$A$189</f>
        <v>0</v>
      </c>
      <c r="J162" s="79">
        <f t="shared" si="9"/>
        <v>0</v>
      </c>
      <c r="K162" s="61">
        <f>LARGE($E$2:$E$241,161)</f>
        <v>1.56E-3</v>
      </c>
      <c r="L162" s="63">
        <f t="shared" si="10"/>
        <v>156</v>
      </c>
      <c r="M162" s="79">
        <f t="shared" si="11"/>
        <v>0</v>
      </c>
      <c r="N162" s="37">
        <v>161</v>
      </c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2:26" ht="17.25" thickTop="1" thickBot="1">
      <c r="B163">
        <f>wyniki!B195</f>
        <v>0</v>
      </c>
      <c r="C163" s="56">
        <f>wyniki!E195</f>
        <v>0</v>
      </c>
      <c r="D163" s="18">
        <v>1.6199999999999999E-3</v>
      </c>
      <c r="E163" s="56">
        <f t="shared" si="8"/>
        <v>1.6199999999999999E-3</v>
      </c>
      <c r="F163">
        <f>wyniki!$A$189</f>
        <v>0</v>
      </c>
      <c r="J163" s="79">
        <f t="shared" si="9"/>
        <v>0</v>
      </c>
      <c r="K163" s="61">
        <f>LARGE($E$2:$E$241,162)</f>
        <v>1.5499999999999999E-3</v>
      </c>
      <c r="L163" s="63">
        <f t="shared" si="10"/>
        <v>155</v>
      </c>
      <c r="M163" s="79">
        <f t="shared" si="11"/>
        <v>0</v>
      </c>
      <c r="N163" s="37">
        <v>162</v>
      </c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2:26" ht="17.25" thickTop="1" thickBot="1">
      <c r="B164">
        <f>wyniki!B197</f>
        <v>0</v>
      </c>
      <c r="C164" s="56">
        <f>wyniki!E197</f>
        <v>0</v>
      </c>
      <c r="D164" s="18">
        <v>1.6299999999999999E-3</v>
      </c>
      <c r="E164" s="56">
        <f t="shared" si="8"/>
        <v>1.6299999999999999E-3</v>
      </c>
      <c r="F164">
        <f>wyniki!$A$196</f>
        <v>0</v>
      </c>
      <c r="J164" s="79">
        <f t="shared" si="9"/>
        <v>0</v>
      </c>
      <c r="K164" s="61">
        <f>LARGE($E$2:$E$241,163)</f>
        <v>1.5399999999999999E-3</v>
      </c>
      <c r="L164" s="63">
        <f t="shared" si="10"/>
        <v>154</v>
      </c>
      <c r="M164" s="79">
        <f t="shared" si="11"/>
        <v>0</v>
      </c>
      <c r="N164" s="37">
        <v>163</v>
      </c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2:26" ht="17.25" thickTop="1" thickBot="1">
      <c r="B165">
        <f>wyniki!B198</f>
        <v>0</v>
      </c>
      <c r="C165" s="56">
        <f>wyniki!E198</f>
        <v>0</v>
      </c>
      <c r="D165" s="18">
        <v>1.64E-3</v>
      </c>
      <c r="E165" s="56">
        <f t="shared" si="8"/>
        <v>1.64E-3</v>
      </c>
      <c r="F165">
        <f>wyniki!$A$196</f>
        <v>0</v>
      </c>
      <c r="J165" s="79">
        <f t="shared" si="9"/>
        <v>0</v>
      </c>
      <c r="K165" s="61">
        <f>LARGE($E$2:$E$241,164)</f>
        <v>1.5299999999999999E-3</v>
      </c>
      <c r="L165" s="63">
        <f t="shared" si="10"/>
        <v>153</v>
      </c>
      <c r="M165" s="79">
        <f t="shared" si="11"/>
        <v>0</v>
      </c>
      <c r="N165" s="37">
        <v>164</v>
      </c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2:26" ht="17.25" thickTop="1" thickBot="1">
      <c r="B166">
        <f>wyniki!B199</f>
        <v>0</v>
      </c>
      <c r="C166" s="56">
        <f>wyniki!E199</f>
        <v>0</v>
      </c>
      <c r="D166" s="18">
        <v>1.65E-3</v>
      </c>
      <c r="E166" s="56">
        <f t="shared" si="8"/>
        <v>1.65E-3</v>
      </c>
      <c r="F166">
        <f>wyniki!$A$196</f>
        <v>0</v>
      </c>
      <c r="J166" s="79">
        <f t="shared" si="9"/>
        <v>0</v>
      </c>
      <c r="K166" s="61">
        <f>LARGE($E$2:$E$241,165)</f>
        <v>1.5200000000000001E-3</v>
      </c>
      <c r="L166" s="63">
        <f t="shared" si="10"/>
        <v>152</v>
      </c>
      <c r="M166" s="79">
        <f t="shared" si="11"/>
        <v>0</v>
      </c>
      <c r="N166" s="37">
        <v>165</v>
      </c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2:26" ht="17.25" thickTop="1" thickBot="1">
      <c r="B167">
        <f>wyniki!B200</f>
        <v>0</v>
      </c>
      <c r="C167" s="56">
        <f>wyniki!E200</f>
        <v>0</v>
      </c>
      <c r="D167" s="18">
        <v>1.66E-3</v>
      </c>
      <c r="E167" s="56">
        <f t="shared" si="8"/>
        <v>1.66E-3</v>
      </c>
      <c r="F167">
        <f>wyniki!$A$196</f>
        <v>0</v>
      </c>
      <c r="J167" s="79">
        <f t="shared" si="9"/>
        <v>0</v>
      </c>
      <c r="K167" s="61">
        <f>LARGE($E$2:$E$241,166)</f>
        <v>1.5100000000000001E-3</v>
      </c>
      <c r="L167" s="63">
        <f t="shared" si="10"/>
        <v>151</v>
      </c>
      <c r="M167" s="79">
        <f t="shared" si="11"/>
        <v>0</v>
      </c>
      <c r="N167" s="37">
        <v>166</v>
      </c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2:26" ht="17.25" thickTop="1" thickBot="1">
      <c r="B168">
        <f>wyniki!B201</f>
        <v>0</v>
      </c>
      <c r="C168" s="56">
        <f>wyniki!E201</f>
        <v>0</v>
      </c>
      <c r="D168" s="18">
        <v>1.67E-3</v>
      </c>
      <c r="E168" s="56">
        <f t="shared" si="8"/>
        <v>1.67E-3</v>
      </c>
      <c r="F168">
        <f>wyniki!$A$196</f>
        <v>0</v>
      </c>
      <c r="J168" s="79">
        <f t="shared" si="9"/>
        <v>0</v>
      </c>
      <c r="K168" s="61">
        <f>LARGE($E$2:$E$241,167)</f>
        <v>1.5E-3</v>
      </c>
      <c r="L168" s="63">
        <f t="shared" si="10"/>
        <v>150</v>
      </c>
      <c r="M168" s="79">
        <f t="shared" si="11"/>
        <v>0</v>
      </c>
      <c r="N168" s="37">
        <v>167</v>
      </c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2:26" ht="17.25" thickTop="1" thickBot="1">
      <c r="B169">
        <f>wyniki!B202</f>
        <v>0</v>
      </c>
      <c r="C169" s="56">
        <f>wyniki!E202</f>
        <v>0</v>
      </c>
      <c r="D169" s="18">
        <v>1.6800000000000001E-3</v>
      </c>
      <c r="E169" s="56">
        <f t="shared" si="8"/>
        <v>1.6800000000000001E-3</v>
      </c>
      <c r="F169">
        <f>wyniki!$A$196</f>
        <v>0</v>
      </c>
      <c r="J169" s="79">
        <f t="shared" si="9"/>
        <v>0</v>
      </c>
      <c r="K169" s="61">
        <f>LARGE($E$2:$E$241,168)</f>
        <v>1.49E-3</v>
      </c>
      <c r="L169" s="63">
        <f t="shared" si="10"/>
        <v>149</v>
      </c>
      <c r="M169" s="79">
        <f t="shared" si="11"/>
        <v>0</v>
      </c>
      <c r="N169" s="37">
        <v>168</v>
      </c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2:26" ht="17.25" thickTop="1" thickBot="1">
      <c r="B170">
        <f>wyniki!B204</f>
        <v>0</v>
      </c>
      <c r="C170" s="56">
        <f>wyniki!E204</f>
        <v>0</v>
      </c>
      <c r="D170" s="18">
        <v>1.6900000000000001E-3</v>
      </c>
      <c r="E170" s="56">
        <f t="shared" si="8"/>
        <v>1.6900000000000001E-3</v>
      </c>
      <c r="F170">
        <f>wyniki!$A$203</f>
        <v>0</v>
      </c>
      <c r="J170" s="79">
        <f t="shared" si="9"/>
        <v>0</v>
      </c>
      <c r="K170" s="61">
        <f>LARGE($E$2:$E$241,169)</f>
        <v>1.48E-3</v>
      </c>
      <c r="L170" s="63">
        <f t="shared" si="10"/>
        <v>148</v>
      </c>
      <c r="M170" s="79">
        <f t="shared" si="11"/>
        <v>0</v>
      </c>
      <c r="N170" s="37">
        <v>169</v>
      </c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2:26" ht="17.25" thickTop="1" thickBot="1">
      <c r="B171">
        <f>wyniki!B205</f>
        <v>0</v>
      </c>
      <c r="C171" s="56">
        <f>wyniki!E205</f>
        <v>0</v>
      </c>
      <c r="D171" s="18">
        <v>1.6999999999999999E-3</v>
      </c>
      <c r="E171" s="56">
        <f t="shared" si="8"/>
        <v>1.6999999999999999E-3</v>
      </c>
      <c r="F171">
        <f>wyniki!$A$203</f>
        <v>0</v>
      </c>
      <c r="J171" s="79">
        <f t="shared" si="9"/>
        <v>0</v>
      </c>
      <c r="K171" s="61">
        <f>LARGE($E$2:$E$241,170)</f>
        <v>1.47E-3</v>
      </c>
      <c r="L171" s="63">
        <f t="shared" si="10"/>
        <v>147</v>
      </c>
      <c r="M171" s="79">
        <f t="shared" si="11"/>
        <v>0</v>
      </c>
      <c r="N171" s="37">
        <v>170</v>
      </c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2:26" ht="17.25" thickTop="1" thickBot="1">
      <c r="B172">
        <f>wyniki!B206</f>
        <v>0</v>
      </c>
      <c r="C172" s="56">
        <f>wyniki!E206</f>
        <v>0</v>
      </c>
      <c r="D172" s="18">
        <v>1.7099999999999999E-3</v>
      </c>
      <c r="E172" s="56">
        <f t="shared" si="8"/>
        <v>1.7099999999999999E-3</v>
      </c>
      <c r="F172">
        <f>wyniki!$A$203</f>
        <v>0</v>
      </c>
      <c r="J172" s="79">
        <f t="shared" si="9"/>
        <v>0</v>
      </c>
      <c r="K172" s="61">
        <f>LARGE($E$2:$E$241,171)</f>
        <v>1.4599999999999999E-3</v>
      </c>
      <c r="L172" s="63">
        <f t="shared" si="10"/>
        <v>146</v>
      </c>
      <c r="M172" s="79">
        <f t="shared" si="11"/>
        <v>0</v>
      </c>
      <c r="N172" s="37">
        <v>171</v>
      </c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2:26" ht="17.25" thickTop="1" thickBot="1">
      <c r="B173">
        <f>wyniki!B207</f>
        <v>0</v>
      </c>
      <c r="C173" s="56">
        <f>wyniki!E207</f>
        <v>0</v>
      </c>
      <c r="D173" s="18">
        <v>1.72E-3</v>
      </c>
      <c r="E173" s="56">
        <f t="shared" si="8"/>
        <v>1.72E-3</v>
      </c>
      <c r="F173">
        <f>wyniki!$A$203</f>
        <v>0</v>
      </c>
      <c r="J173" s="79">
        <f t="shared" si="9"/>
        <v>0</v>
      </c>
      <c r="K173" s="61">
        <f>LARGE($E$2:$E$241,172)</f>
        <v>1.4499999999999999E-3</v>
      </c>
      <c r="L173" s="63">
        <f t="shared" si="10"/>
        <v>145</v>
      </c>
      <c r="M173" s="79">
        <f t="shared" si="11"/>
        <v>0</v>
      </c>
      <c r="N173" s="37">
        <v>172</v>
      </c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2:26" ht="17.25" thickTop="1" thickBot="1">
      <c r="B174">
        <f>wyniki!B208</f>
        <v>0</v>
      </c>
      <c r="C174" s="56">
        <f>wyniki!E208</f>
        <v>0</v>
      </c>
      <c r="D174" s="18">
        <v>1.73E-3</v>
      </c>
      <c r="E174" s="56">
        <f t="shared" si="8"/>
        <v>1.73E-3</v>
      </c>
      <c r="F174">
        <f>wyniki!$A$203</f>
        <v>0</v>
      </c>
      <c r="J174" s="79">
        <f t="shared" si="9"/>
        <v>0</v>
      </c>
      <c r="K174" s="61">
        <f>LARGE($E$2:$E$241,173)</f>
        <v>1.4400000000000001E-3</v>
      </c>
      <c r="L174" s="63">
        <f t="shared" si="10"/>
        <v>144</v>
      </c>
      <c r="M174" s="79">
        <f t="shared" si="11"/>
        <v>0</v>
      </c>
      <c r="N174" s="37">
        <v>173</v>
      </c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2:26" ht="17.25" thickTop="1" thickBot="1">
      <c r="B175">
        <f>wyniki!B209</f>
        <v>0</v>
      </c>
      <c r="C175" s="56">
        <f>wyniki!E209</f>
        <v>0</v>
      </c>
      <c r="D175" s="18">
        <v>1.74E-3</v>
      </c>
      <c r="E175" s="56">
        <f t="shared" si="8"/>
        <v>1.74E-3</v>
      </c>
      <c r="F175">
        <f>wyniki!$A$203</f>
        <v>0</v>
      </c>
      <c r="J175" s="79">
        <f t="shared" si="9"/>
        <v>0</v>
      </c>
      <c r="K175" s="61">
        <f>LARGE($E$2:$E$241,174)</f>
        <v>1.4300000000000001E-3</v>
      </c>
      <c r="L175" s="63">
        <f t="shared" si="10"/>
        <v>143</v>
      </c>
      <c r="M175" s="79">
        <f t="shared" si="11"/>
        <v>0</v>
      </c>
      <c r="N175" s="37">
        <v>174</v>
      </c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2:26" ht="17.25" thickTop="1" thickBot="1">
      <c r="B176">
        <f>wyniki!B211</f>
        <v>0</v>
      </c>
      <c r="C176" s="56">
        <f>wyniki!E211</f>
        <v>0</v>
      </c>
      <c r="D176" s="18">
        <v>1.75E-3</v>
      </c>
      <c r="E176" s="56">
        <f t="shared" si="8"/>
        <v>1.75E-3</v>
      </c>
      <c r="F176">
        <f>wyniki!$A$210</f>
        <v>0</v>
      </c>
      <c r="J176" s="79">
        <f t="shared" si="9"/>
        <v>0</v>
      </c>
      <c r="K176" s="61">
        <f>LARGE($E$2:$E$241,175)</f>
        <v>1.42E-3</v>
      </c>
      <c r="L176" s="63">
        <f t="shared" si="10"/>
        <v>142</v>
      </c>
      <c r="M176" s="79">
        <f t="shared" si="11"/>
        <v>0</v>
      </c>
      <c r="N176" s="37">
        <v>175</v>
      </c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2:26" ht="17.25" thickTop="1" thickBot="1">
      <c r="B177">
        <f>wyniki!B212</f>
        <v>0</v>
      </c>
      <c r="C177" s="56">
        <f>wyniki!E212</f>
        <v>0</v>
      </c>
      <c r="D177" s="18">
        <v>1.7600000000000001E-3</v>
      </c>
      <c r="E177" s="56">
        <f t="shared" si="8"/>
        <v>1.7600000000000001E-3</v>
      </c>
      <c r="F177">
        <f>wyniki!$A$210</f>
        <v>0</v>
      </c>
      <c r="J177" s="79">
        <f t="shared" si="9"/>
        <v>0</v>
      </c>
      <c r="K177" s="61">
        <f>LARGE($E$2:$E$241,176)</f>
        <v>1.41E-3</v>
      </c>
      <c r="L177" s="63">
        <f t="shared" si="10"/>
        <v>141</v>
      </c>
      <c r="M177" s="79">
        <f t="shared" si="11"/>
        <v>0</v>
      </c>
      <c r="N177" s="37">
        <v>176</v>
      </c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2:26" ht="17.25" thickTop="1" thickBot="1">
      <c r="B178">
        <f>wyniki!B213</f>
        <v>0</v>
      </c>
      <c r="C178" s="56">
        <f>wyniki!E213</f>
        <v>0</v>
      </c>
      <c r="D178" s="18">
        <v>1.7700000000000001E-3</v>
      </c>
      <c r="E178" s="56">
        <f t="shared" si="8"/>
        <v>1.7700000000000001E-3</v>
      </c>
      <c r="F178">
        <f>wyniki!$A$210</f>
        <v>0</v>
      </c>
      <c r="J178" s="79">
        <f t="shared" si="9"/>
        <v>0</v>
      </c>
      <c r="K178" s="61">
        <f>LARGE($E$2:$E$241,177)</f>
        <v>1.4E-3</v>
      </c>
      <c r="L178" s="63">
        <f t="shared" si="10"/>
        <v>140</v>
      </c>
      <c r="M178" s="79">
        <f t="shared" si="11"/>
        <v>0</v>
      </c>
      <c r="N178" s="37">
        <v>177</v>
      </c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2:26" ht="17.25" thickTop="1" thickBot="1">
      <c r="B179">
        <f>wyniki!B214</f>
        <v>0</v>
      </c>
      <c r="C179" s="56">
        <f>wyniki!E214</f>
        <v>0</v>
      </c>
      <c r="D179" s="18">
        <v>1.7799999999999999E-3</v>
      </c>
      <c r="E179" s="56">
        <f t="shared" si="8"/>
        <v>1.7799999999999999E-3</v>
      </c>
      <c r="F179">
        <f>wyniki!$A$210</f>
        <v>0</v>
      </c>
      <c r="J179" s="79">
        <f t="shared" si="9"/>
        <v>0</v>
      </c>
      <c r="K179" s="61">
        <f>LARGE($E$2:$E$241,178)</f>
        <v>1.39E-3</v>
      </c>
      <c r="L179" s="63">
        <f t="shared" si="10"/>
        <v>139</v>
      </c>
      <c r="M179" s="79">
        <f t="shared" si="11"/>
        <v>0</v>
      </c>
      <c r="N179" s="37">
        <v>178</v>
      </c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2:26" ht="17.25" thickTop="1" thickBot="1">
      <c r="B180">
        <f>wyniki!B215</f>
        <v>0</v>
      </c>
      <c r="C180" s="56">
        <f>wyniki!E215</f>
        <v>0</v>
      </c>
      <c r="D180" s="18">
        <v>1.7899999999999999E-3</v>
      </c>
      <c r="E180" s="56">
        <f t="shared" si="8"/>
        <v>1.7899999999999999E-3</v>
      </c>
      <c r="F180">
        <f>wyniki!$A$210</f>
        <v>0</v>
      </c>
      <c r="J180" s="79">
        <f t="shared" si="9"/>
        <v>0</v>
      </c>
      <c r="K180" s="61">
        <f>LARGE($E$2:$E$241,179)</f>
        <v>1.3799999999999999E-3</v>
      </c>
      <c r="L180" s="63">
        <f t="shared" si="10"/>
        <v>138</v>
      </c>
      <c r="M180" s="79">
        <f t="shared" si="11"/>
        <v>0</v>
      </c>
      <c r="N180" s="37">
        <v>179</v>
      </c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2:26" ht="17.25" thickTop="1" thickBot="1">
      <c r="B181">
        <f>wyniki!B216</f>
        <v>0</v>
      </c>
      <c r="C181" s="56">
        <f>wyniki!E216</f>
        <v>0</v>
      </c>
      <c r="D181" s="18">
        <v>1.8E-3</v>
      </c>
      <c r="E181" s="56">
        <f t="shared" si="8"/>
        <v>1.8E-3</v>
      </c>
      <c r="F181">
        <f>wyniki!$A$210</f>
        <v>0</v>
      </c>
      <c r="J181" s="79">
        <f t="shared" si="9"/>
        <v>0</v>
      </c>
      <c r="K181" s="61">
        <f>LARGE($E$2:$E$241,180)</f>
        <v>1.3699999999999999E-3</v>
      </c>
      <c r="L181" s="63">
        <f t="shared" si="10"/>
        <v>137</v>
      </c>
      <c r="M181" s="79">
        <f t="shared" si="11"/>
        <v>0</v>
      </c>
      <c r="N181" s="37">
        <v>180</v>
      </c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2:26" ht="17.25" thickTop="1" thickBot="1">
      <c r="B182">
        <f>wyniki!B218</f>
        <v>0</v>
      </c>
      <c r="C182" s="56">
        <f>wyniki!E218</f>
        <v>0</v>
      </c>
      <c r="D182" s="18">
        <v>1.81E-3</v>
      </c>
      <c r="E182" s="56">
        <f t="shared" si="8"/>
        <v>1.81E-3</v>
      </c>
      <c r="F182">
        <f>wyniki!$A$217</f>
        <v>0</v>
      </c>
      <c r="J182" s="79">
        <f t="shared" si="9"/>
        <v>0</v>
      </c>
      <c r="K182" s="61">
        <f>LARGE($E$2:$E$241,181)</f>
        <v>1.3600000000000001E-3</v>
      </c>
      <c r="L182" s="63">
        <f t="shared" si="10"/>
        <v>136</v>
      </c>
      <c r="M182" s="79">
        <f t="shared" si="11"/>
        <v>0</v>
      </c>
      <c r="N182" s="37">
        <v>181</v>
      </c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2:26" ht="17.25" thickTop="1" thickBot="1">
      <c r="B183">
        <f>wyniki!B219</f>
        <v>0</v>
      </c>
      <c r="C183" s="56">
        <f>wyniki!E219</f>
        <v>0</v>
      </c>
      <c r="D183" s="18">
        <v>1.82E-3</v>
      </c>
      <c r="E183" s="56">
        <f t="shared" si="8"/>
        <v>1.82E-3</v>
      </c>
      <c r="F183">
        <f>wyniki!$A$217</f>
        <v>0</v>
      </c>
      <c r="J183" s="79">
        <f t="shared" si="9"/>
        <v>0</v>
      </c>
      <c r="K183" s="61">
        <f>LARGE($E$2:$E$241,182)</f>
        <v>1.3500000000000001E-3</v>
      </c>
      <c r="L183" s="63">
        <f t="shared" si="10"/>
        <v>135</v>
      </c>
      <c r="M183" s="79">
        <f t="shared" si="11"/>
        <v>0</v>
      </c>
      <c r="N183" s="37">
        <v>182</v>
      </c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2:26" ht="17.25" thickTop="1" thickBot="1">
      <c r="B184">
        <f>wyniki!B220</f>
        <v>0</v>
      </c>
      <c r="C184" s="56">
        <f>wyniki!E220</f>
        <v>0</v>
      </c>
      <c r="D184" s="18">
        <v>1.83E-3</v>
      </c>
      <c r="E184" s="56">
        <f t="shared" si="8"/>
        <v>1.83E-3</v>
      </c>
      <c r="F184">
        <f>wyniki!$A$217</f>
        <v>0</v>
      </c>
      <c r="J184" s="79">
        <f t="shared" si="9"/>
        <v>0</v>
      </c>
      <c r="K184" s="61">
        <f>LARGE($E$2:$E$241,183)</f>
        <v>1.34E-3</v>
      </c>
      <c r="L184" s="63">
        <f t="shared" si="10"/>
        <v>134</v>
      </c>
      <c r="M184" s="79">
        <f t="shared" si="11"/>
        <v>0</v>
      </c>
      <c r="N184" s="37">
        <v>183</v>
      </c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2:26" ht="17.25" thickTop="1" thickBot="1">
      <c r="B185">
        <f>wyniki!B221</f>
        <v>0</v>
      </c>
      <c r="C185" s="56">
        <f>wyniki!E221</f>
        <v>0</v>
      </c>
      <c r="D185" s="18">
        <v>1.8400000000000001E-3</v>
      </c>
      <c r="E185" s="56">
        <f t="shared" si="8"/>
        <v>1.8400000000000001E-3</v>
      </c>
      <c r="F185">
        <f>wyniki!$A$217</f>
        <v>0</v>
      </c>
      <c r="J185" s="79">
        <f t="shared" si="9"/>
        <v>0</v>
      </c>
      <c r="K185" s="61">
        <f>LARGE($E$2:$E$241,184)</f>
        <v>1.33E-3</v>
      </c>
      <c r="L185" s="63">
        <f t="shared" si="10"/>
        <v>133</v>
      </c>
      <c r="M185" s="79">
        <f t="shared" si="11"/>
        <v>0</v>
      </c>
      <c r="N185" s="37">
        <v>184</v>
      </c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2:26" ht="17.25" thickTop="1" thickBot="1">
      <c r="B186">
        <f>wyniki!B222</f>
        <v>0</v>
      </c>
      <c r="C186" s="56">
        <f>wyniki!E222</f>
        <v>0</v>
      </c>
      <c r="D186" s="18">
        <v>1.8500000000000001E-3</v>
      </c>
      <c r="E186" s="56">
        <f t="shared" si="8"/>
        <v>1.8500000000000001E-3</v>
      </c>
      <c r="F186">
        <f>wyniki!$A$217</f>
        <v>0</v>
      </c>
      <c r="J186" s="79">
        <f t="shared" si="9"/>
        <v>0</v>
      </c>
      <c r="K186" s="61">
        <f>LARGE($E$2:$E$241,185)</f>
        <v>1.32E-3</v>
      </c>
      <c r="L186" s="63">
        <f t="shared" si="10"/>
        <v>132</v>
      </c>
      <c r="M186" s="79">
        <f t="shared" si="11"/>
        <v>0</v>
      </c>
      <c r="N186" s="37">
        <v>185</v>
      </c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2:26" ht="17.25" thickTop="1" thickBot="1">
      <c r="B187">
        <f>wyniki!B223</f>
        <v>0</v>
      </c>
      <c r="C187" s="56">
        <f>wyniki!E223</f>
        <v>0</v>
      </c>
      <c r="D187" s="18">
        <v>1.8600000000000001E-3</v>
      </c>
      <c r="E187" s="56">
        <f t="shared" si="8"/>
        <v>1.8600000000000001E-3</v>
      </c>
      <c r="F187">
        <f>wyniki!$A$217</f>
        <v>0</v>
      </c>
      <c r="J187" s="79">
        <f t="shared" si="9"/>
        <v>0</v>
      </c>
      <c r="K187" s="61">
        <f>LARGE($E$2:$E$241,186)</f>
        <v>1.31E-3</v>
      </c>
      <c r="L187" s="63">
        <f t="shared" si="10"/>
        <v>131</v>
      </c>
      <c r="M187" s="79">
        <f t="shared" si="11"/>
        <v>0</v>
      </c>
      <c r="N187" s="37">
        <v>186</v>
      </c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2:26" ht="17.25" thickTop="1" thickBot="1">
      <c r="B188">
        <f>wyniki!B225</f>
        <v>0</v>
      </c>
      <c r="C188" s="56">
        <f>wyniki!E225</f>
        <v>0</v>
      </c>
      <c r="D188" s="18">
        <v>1.8699999999999999E-3</v>
      </c>
      <c r="E188" s="56">
        <f t="shared" si="8"/>
        <v>1.8699999999999999E-3</v>
      </c>
      <c r="F188">
        <f>wyniki!$A$224</f>
        <v>0</v>
      </c>
      <c r="J188" s="79">
        <f t="shared" si="9"/>
        <v>0</v>
      </c>
      <c r="K188" s="61">
        <f>LARGE($E$2:$E$241,187)</f>
        <v>1.2999999999999999E-3</v>
      </c>
      <c r="L188" s="63">
        <f t="shared" si="10"/>
        <v>130</v>
      </c>
      <c r="M188" s="79">
        <f t="shared" si="11"/>
        <v>0</v>
      </c>
      <c r="N188" s="37">
        <v>187</v>
      </c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2:26" ht="17.25" thickTop="1" thickBot="1">
      <c r="B189">
        <f>wyniki!B226</f>
        <v>0</v>
      </c>
      <c r="C189" s="56">
        <f>wyniki!E226</f>
        <v>0</v>
      </c>
      <c r="D189" s="18">
        <v>1.8799999999999999E-3</v>
      </c>
      <c r="E189" s="56">
        <f t="shared" si="8"/>
        <v>1.8799999999999999E-3</v>
      </c>
      <c r="F189">
        <f>wyniki!$A$224</f>
        <v>0</v>
      </c>
      <c r="J189" s="79">
        <f t="shared" si="9"/>
        <v>0</v>
      </c>
      <c r="K189" s="61">
        <f>LARGE($E$2:$E$241,188)</f>
        <v>1.2899999999999999E-3</v>
      </c>
      <c r="L189" s="63">
        <f t="shared" si="10"/>
        <v>129</v>
      </c>
      <c r="M189" s="79">
        <f t="shared" si="11"/>
        <v>0</v>
      </c>
      <c r="N189" s="37">
        <v>188</v>
      </c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2:26" ht="17.25" thickTop="1" thickBot="1">
      <c r="B190">
        <f>wyniki!B227</f>
        <v>0</v>
      </c>
      <c r="C190" s="56">
        <f>wyniki!E227</f>
        <v>0</v>
      </c>
      <c r="D190" s="18">
        <v>1.89E-3</v>
      </c>
      <c r="E190" s="56">
        <f t="shared" si="8"/>
        <v>1.89E-3</v>
      </c>
      <c r="F190">
        <f>wyniki!$A$224</f>
        <v>0</v>
      </c>
      <c r="J190" s="79">
        <f t="shared" si="9"/>
        <v>0</v>
      </c>
      <c r="K190" s="61">
        <f>LARGE($E$2:$E$241,189)</f>
        <v>1.2800000000000001E-3</v>
      </c>
      <c r="L190" s="63">
        <f t="shared" si="10"/>
        <v>128</v>
      </c>
      <c r="M190" s="79">
        <f t="shared" si="11"/>
        <v>0</v>
      </c>
      <c r="N190" s="37">
        <v>189</v>
      </c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2:26" ht="17.25" thickTop="1" thickBot="1">
      <c r="B191">
        <f>wyniki!B228</f>
        <v>0</v>
      </c>
      <c r="C191" s="56">
        <f>wyniki!E228</f>
        <v>0</v>
      </c>
      <c r="D191" s="18">
        <v>1.9E-3</v>
      </c>
      <c r="E191" s="56">
        <f t="shared" si="8"/>
        <v>1.9E-3</v>
      </c>
      <c r="F191">
        <f>wyniki!$A$224</f>
        <v>0</v>
      </c>
      <c r="J191" s="79">
        <f t="shared" si="9"/>
        <v>0</v>
      </c>
      <c r="K191" s="61">
        <f>LARGE($E$2:$E$241,190)</f>
        <v>1.2700000000000001E-3</v>
      </c>
      <c r="L191" s="63">
        <f t="shared" si="10"/>
        <v>127</v>
      </c>
      <c r="M191" s="79">
        <f t="shared" si="11"/>
        <v>0</v>
      </c>
      <c r="N191" s="37">
        <v>190</v>
      </c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2:26" ht="17.25" thickTop="1" thickBot="1">
      <c r="B192">
        <f>wyniki!B229</f>
        <v>0</v>
      </c>
      <c r="C192" s="56">
        <f>wyniki!E229</f>
        <v>0</v>
      </c>
      <c r="D192" s="18">
        <v>1.91E-3</v>
      </c>
      <c r="E192" s="56">
        <f t="shared" si="8"/>
        <v>1.91E-3</v>
      </c>
      <c r="F192">
        <f>wyniki!$A$224</f>
        <v>0</v>
      </c>
      <c r="J192" s="79">
        <f t="shared" si="9"/>
        <v>0</v>
      </c>
      <c r="K192" s="61">
        <f>LARGE($E$2:$E$241,191)</f>
        <v>1.2600000000000001E-3</v>
      </c>
      <c r="L192" s="63">
        <f t="shared" si="10"/>
        <v>126</v>
      </c>
      <c r="M192" s="79">
        <f t="shared" si="11"/>
        <v>0</v>
      </c>
      <c r="N192" s="37">
        <v>191</v>
      </c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2:26" ht="17.25" thickTop="1" thickBot="1">
      <c r="B193">
        <f>wyniki!B230</f>
        <v>0</v>
      </c>
      <c r="C193" s="56">
        <f>wyniki!E230</f>
        <v>0</v>
      </c>
      <c r="D193" s="18">
        <v>1.92E-3</v>
      </c>
      <c r="E193" s="56">
        <f t="shared" si="8"/>
        <v>1.92E-3</v>
      </c>
      <c r="F193">
        <f>wyniki!$A$224</f>
        <v>0</v>
      </c>
      <c r="J193" s="79">
        <f t="shared" si="9"/>
        <v>0</v>
      </c>
      <c r="K193" s="61">
        <f>LARGE($E$2:$E$241,192)</f>
        <v>1.25E-3</v>
      </c>
      <c r="L193" s="63">
        <f t="shared" si="10"/>
        <v>125</v>
      </c>
      <c r="M193" s="79">
        <f t="shared" si="11"/>
        <v>0</v>
      </c>
      <c r="N193" s="37">
        <v>192</v>
      </c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2:26" ht="17.25" thickTop="1" thickBot="1">
      <c r="B194">
        <f>wyniki!B232</f>
        <v>0</v>
      </c>
      <c r="C194" s="56">
        <f>wyniki!E232</f>
        <v>0</v>
      </c>
      <c r="D194" s="18">
        <v>1.9300000000000001E-3</v>
      </c>
      <c r="E194" s="56">
        <f t="shared" si="8"/>
        <v>1.9300000000000001E-3</v>
      </c>
      <c r="F194">
        <f>wyniki!$A$231</f>
        <v>0</v>
      </c>
      <c r="J194" s="79">
        <f t="shared" si="9"/>
        <v>0</v>
      </c>
      <c r="K194" s="61">
        <f>LARGE($E$2:$E$241,193)</f>
        <v>1.24E-3</v>
      </c>
      <c r="L194" s="63">
        <f t="shared" si="10"/>
        <v>124</v>
      </c>
      <c r="M194" s="79">
        <f t="shared" si="11"/>
        <v>0</v>
      </c>
      <c r="N194" s="37">
        <v>193</v>
      </c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2:26" ht="17.25" thickTop="1" thickBot="1">
      <c r="B195">
        <f>wyniki!B233</f>
        <v>0</v>
      </c>
      <c r="C195" s="56">
        <f>wyniki!E233</f>
        <v>0</v>
      </c>
      <c r="D195" s="18">
        <v>1.9400000000000001E-3</v>
      </c>
      <c r="E195" s="56">
        <f t="shared" ref="E195:E241" si="12">C195+D195</f>
        <v>1.9400000000000001E-3</v>
      </c>
      <c r="F195">
        <f>wyniki!$A$231</f>
        <v>0</v>
      </c>
      <c r="J195" s="79">
        <f t="shared" ref="J195:J241" si="13">INDEX($B$2:$E$241,L195,1)</f>
        <v>0</v>
      </c>
      <c r="K195" s="61">
        <f>LARGE($E$2:$E$241,194)</f>
        <v>1.23E-3</v>
      </c>
      <c r="L195" s="63">
        <f t="shared" ref="L195:L241" si="14">MATCH(K195,$E$2:$E$241,0)</f>
        <v>123</v>
      </c>
      <c r="M195" s="79">
        <f t="shared" ref="M195:M241" si="15">INDEX($E$2:$F$241,L195,2)</f>
        <v>0</v>
      </c>
      <c r="N195" s="37">
        <v>194</v>
      </c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2:26" ht="17.25" thickTop="1" thickBot="1">
      <c r="B196">
        <f>wyniki!B234</f>
        <v>0</v>
      </c>
      <c r="C196" s="56">
        <f>wyniki!E234</f>
        <v>0</v>
      </c>
      <c r="D196" s="18">
        <v>1.9499999999999999E-3</v>
      </c>
      <c r="E196" s="56">
        <f t="shared" si="12"/>
        <v>1.9499999999999999E-3</v>
      </c>
      <c r="F196">
        <f>wyniki!$A$231</f>
        <v>0</v>
      </c>
      <c r="J196" s="79">
        <f t="shared" si="13"/>
        <v>0</v>
      </c>
      <c r="K196" s="61">
        <f>LARGE($E$2:$E$241,195)</f>
        <v>1.2199999999999999E-3</v>
      </c>
      <c r="L196" s="63">
        <f t="shared" si="14"/>
        <v>122</v>
      </c>
      <c r="M196" s="79">
        <f t="shared" si="15"/>
        <v>0</v>
      </c>
      <c r="N196" s="37">
        <v>195</v>
      </c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2:26" ht="17.25" thickTop="1" thickBot="1">
      <c r="B197">
        <f>wyniki!B235</f>
        <v>0</v>
      </c>
      <c r="C197" s="56">
        <f>wyniki!E235</f>
        <v>0</v>
      </c>
      <c r="D197" s="18">
        <v>1.9599999999999999E-3</v>
      </c>
      <c r="E197" s="56">
        <f t="shared" si="12"/>
        <v>1.9599999999999999E-3</v>
      </c>
      <c r="F197">
        <f>wyniki!$A$231</f>
        <v>0</v>
      </c>
      <c r="J197" s="79">
        <f t="shared" si="13"/>
        <v>0</v>
      </c>
      <c r="K197" s="61">
        <f>LARGE($E$2:$E$241,196)</f>
        <v>1.2099999999999999E-3</v>
      </c>
      <c r="L197" s="63">
        <f t="shared" si="14"/>
        <v>121</v>
      </c>
      <c r="M197" s="79">
        <f t="shared" si="15"/>
        <v>0</v>
      </c>
      <c r="N197" s="37">
        <v>196</v>
      </c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2:26" ht="17.25" thickTop="1" thickBot="1">
      <c r="B198">
        <f>wyniki!B236</f>
        <v>0</v>
      </c>
      <c r="C198" s="56">
        <f>wyniki!E236</f>
        <v>0</v>
      </c>
      <c r="D198" s="18">
        <v>1.97E-3</v>
      </c>
      <c r="E198" s="56">
        <f t="shared" si="12"/>
        <v>1.97E-3</v>
      </c>
      <c r="F198">
        <f>wyniki!$A$231</f>
        <v>0</v>
      </c>
      <c r="J198" s="79">
        <f t="shared" si="13"/>
        <v>0</v>
      </c>
      <c r="K198" s="61">
        <f>LARGE($E$2:$E$241,197)</f>
        <v>1.1999999999999999E-3</v>
      </c>
      <c r="L198" s="63">
        <f t="shared" si="14"/>
        <v>120</v>
      </c>
      <c r="M198" s="79">
        <f t="shared" si="15"/>
        <v>0</v>
      </c>
      <c r="N198" s="37">
        <v>197</v>
      </c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2:26" ht="17.25" thickTop="1" thickBot="1">
      <c r="B199">
        <f>wyniki!B237</f>
        <v>0</v>
      </c>
      <c r="C199" s="56">
        <f>wyniki!E237</f>
        <v>0</v>
      </c>
      <c r="D199" s="18">
        <v>1.98E-3</v>
      </c>
      <c r="E199" s="56">
        <f t="shared" si="12"/>
        <v>1.98E-3</v>
      </c>
      <c r="F199">
        <f>wyniki!$A$231</f>
        <v>0</v>
      </c>
      <c r="J199" s="79">
        <f t="shared" si="13"/>
        <v>0</v>
      </c>
      <c r="K199" s="61">
        <f>LARGE($E$2:$E$241,198)</f>
        <v>1.1900000000000001E-3</v>
      </c>
      <c r="L199" s="63">
        <f t="shared" si="14"/>
        <v>119</v>
      </c>
      <c r="M199" s="79">
        <f t="shared" si="15"/>
        <v>0</v>
      </c>
      <c r="N199" s="37">
        <v>198</v>
      </c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2:26" ht="17.25" thickTop="1" thickBot="1">
      <c r="B200">
        <f>wyniki!B239</f>
        <v>0</v>
      </c>
      <c r="C200" s="56">
        <f>wyniki!E239</f>
        <v>0</v>
      </c>
      <c r="D200" s="18">
        <v>1.99E-3</v>
      </c>
      <c r="E200" s="56">
        <f t="shared" si="12"/>
        <v>1.99E-3</v>
      </c>
      <c r="F200">
        <f>wyniki!$A$238</f>
        <v>0</v>
      </c>
      <c r="J200" s="79">
        <f t="shared" si="13"/>
        <v>0</v>
      </c>
      <c r="K200" s="61">
        <f>LARGE($E$2:$E$241,199)</f>
        <v>1.1800000000000001E-3</v>
      </c>
      <c r="L200" s="63">
        <f t="shared" si="14"/>
        <v>118</v>
      </c>
      <c r="M200" s="79">
        <f t="shared" si="15"/>
        <v>0</v>
      </c>
      <c r="N200" s="37">
        <v>199</v>
      </c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2:26" ht="17.25" thickTop="1" thickBot="1">
      <c r="B201">
        <f>wyniki!B240</f>
        <v>0</v>
      </c>
      <c r="C201" s="56">
        <f>wyniki!E240</f>
        <v>0</v>
      </c>
      <c r="D201" s="18">
        <v>2E-3</v>
      </c>
      <c r="E201" s="56">
        <f t="shared" si="12"/>
        <v>2E-3</v>
      </c>
      <c r="F201">
        <f>wyniki!$A$238</f>
        <v>0</v>
      </c>
      <c r="J201" s="79">
        <f t="shared" si="13"/>
        <v>0</v>
      </c>
      <c r="K201" s="61">
        <f>LARGE($E$2:$E$241,200)</f>
        <v>1.17E-3</v>
      </c>
      <c r="L201" s="63">
        <f t="shared" si="14"/>
        <v>117</v>
      </c>
      <c r="M201" s="79">
        <f t="shared" si="15"/>
        <v>0</v>
      </c>
      <c r="N201" s="37">
        <v>200</v>
      </c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2:26" ht="17.25" thickTop="1" thickBot="1">
      <c r="B202">
        <f>wyniki!B241</f>
        <v>0</v>
      </c>
      <c r="C202" s="56">
        <f>wyniki!E241</f>
        <v>0</v>
      </c>
      <c r="D202" s="18">
        <v>2.0100000000000001E-3</v>
      </c>
      <c r="E202" s="56">
        <f t="shared" si="12"/>
        <v>2.0100000000000001E-3</v>
      </c>
      <c r="F202">
        <f>wyniki!$A$238</f>
        <v>0</v>
      </c>
      <c r="J202" s="79">
        <f t="shared" si="13"/>
        <v>0</v>
      </c>
      <c r="K202" s="61">
        <f>LARGE($E$2:$E$241,201)</f>
        <v>1.16E-3</v>
      </c>
      <c r="L202" s="63">
        <f t="shared" si="14"/>
        <v>116</v>
      </c>
      <c r="M202" s="79">
        <f t="shared" si="15"/>
        <v>0</v>
      </c>
      <c r="N202" s="37">
        <v>201</v>
      </c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2:26" ht="17.25" thickTop="1" thickBot="1">
      <c r="B203">
        <f>wyniki!B242</f>
        <v>0</v>
      </c>
      <c r="C203" s="56">
        <f>wyniki!E242</f>
        <v>0</v>
      </c>
      <c r="D203" s="18">
        <v>2.0200000000000001E-3</v>
      </c>
      <c r="E203" s="56">
        <f t="shared" si="12"/>
        <v>2.0200000000000001E-3</v>
      </c>
      <c r="F203">
        <f>wyniki!$A$238</f>
        <v>0</v>
      </c>
      <c r="J203" s="79">
        <f t="shared" si="13"/>
        <v>0</v>
      </c>
      <c r="K203" s="61">
        <f>LARGE($E$2:$E$241,202)</f>
        <v>1.15E-3</v>
      </c>
      <c r="L203" s="63">
        <f t="shared" si="14"/>
        <v>115</v>
      </c>
      <c r="M203" s="79">
        <f t="shared" si="15"/>
        <v>0</v>
      </c>
      <c r="N203" s="37">
        <v>202</v>
      </c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2:26" ht="17.25" thickTop="1" thickBot="1">
      <c r="B204">
        <f>wyniki!B243</f>
        <v>0</v>
      </c>
      <c r="C204" s="56">
        <f>wyniki!E243</f>
        <v>0</v>
      </c>
      <c r="D204" s="18">
        <v>2.0300000000000001E-3</v>
      </c>
      <c r="E204" s="56">
        <f t="shared" si="12"/>
        <v>2.0300000000000001E-3</v>
      </c>
      <c r="F204">
        <f>wyniki!$A$238</f>
        <v>0</v>
      </c>
      <c r="J204" s="79">
        <f t="shared" si="13"/>
        <v>0</v>
      </c>
      <c r="K204" s="61">
        <f>LARGE($E$2:$E$241,203)</f>
        <v>1.14E-3</v>
      </c>
      <c r="L204" s="63">
        <f t="shared" si="14"/>
        <v>114</v>
      </c>
      <c r="M204" s="79">
        <f t="shared" si="15"/>
        <v>0</v>
      </c>
      <c r="N204" s="37">
        <v>203</v>
      </c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2:26" ht="17.25" thickTop="1" thickBot="1">
      <c r="B205">
        <f>wyniki!B244</f>
        <v>0</v>
      </c>
      <c r="C205" s="56">
        <f>wyniki!E244</f>
        <v>0</v>
      </c>
      <c r="D205" s="18">
        <v>2.0400000000000001E-3</v>
      </c>
      <c r="E205" s="56">
        <f t="shared" si="12"/>
        <v>2.0400000000000001E-3</v>
      </c>
      <c r="F205">
        <f>wyniki!$A$238</f>
        <v>0</v>
      </c>
      <c r="J205" s="79">
        <f t="shared" si="13"/>
        <v>0</v>
      </c>
      <c r="K205" s="61">
        <f>LARGE($E$2:$E$241,204)</f>
        <v>1.1299999999999999E-3</v>
      </c>
      <c r="L205" s="63">
        <f t="shared" si="14"/>
        <v>113</v>
      </c>
      <c r="M205" s="79">
        <f t="shared" si="15"/>
        <v>0</v>
      </c>
      <c r="N205" s="37">
        <v>204</v>
      </c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2:26" ht="17.25" thickTop="1" thickBot="1">
      <c r="B206">
        <f>wyniki!B246</f>
        <v>0</v>
      </c>
      <c r="C206" s="56">
        <f>wyniki!E246</f>
        <v>0</v>
      </c>
      <c r="D206" s="18">
        <v>2.0500000000000002E-3</v>
      </c>
      <c r="E206" s="56">
        <f t="shared" si="12"/>
        <v>2.0500000000000002E-3</v>
      </c>
      <c r="F206">
        <f>wyniki!$A$245</f>
        <v>0</v>
      </c>
      <c r="J206" s="79">
        <f t="shared" si="13"/>
        <v>0</v>
      </c>
      <c r="K206" s="61">
        <f>LARGE($E$2:$E$241,205)</f>
        <v>1.1199999999999999E-3</v>
      </c>
      <c r="L206" s="63">
        <f t="shared" si="14"/>
        <v>112</v>
      </c>
      <c r="M206" s="79">
        <f t="shared" si="15"/>
        <v>0</v>
      </c>
      <c r="N206" s="37">
        <v>205</v>
      </c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2:26" ht="17.25" thickTop="1" thickBot="1">
      <c r="B207">
        <f>wyniki!B247</f>
        <v>0</v>
      </c>
      <c r="C207" s="56">
        <f>wyniki!E247</f>
        <v>0</v>
      </c>
      <c r="D207" s="18">
        <v>2.0600000000000002E-3</v>
      </c>
      <c r="E207" s="56">
        <f t="shared" si="12"/>
        <v>2.0600000000000002E-3</v>
      </c>
      <c r="F207">
        <f>wyniki!$A$245</f>
        <v>0</v>
      </c>
      <c r="J207" s="79">
        <f t="shared" si="13"/>
        <v>0</v>
      </c>
      <c r="K207" s="61">
        <f>LARGE($E$2:$E$241,206)</f>
        <v>1.1100000000000001E-3</v>
      </c>
      <c r="L207" s="63">
        <f t="shared" si="14"/>
        <v>111</v>
      </c>
      <c r="M207" s="79">
        <f t="shared" si="15"/>
        <v>0</v>
      </c>
      <c r="N207" s="37">
        <v>206</v>
      </c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2:26" ht="17.25" thickTop="1" thickBot="1">
      <c r="B208">
        <f>wyniki!B248</f>
        <v>0</v>
      </c>
      <c r="C208" s="56">
        <f>wyniki!E248</f>
        <v>0</v>
      </c>
      <c r="D208" s="18">
        <v>2.0699999999999998E-3</v>
      </c>
      <c r="E208" s="56">
        <f t="shared" si="12"/>
        <v>2.0699999999999998E-3</v>
      </c>
      <c r="F208">
        <f>wyniki!$A$245</f>
        <v>0</v>
      </c>
      <c r="J208" s="79">
        <f t="shared" si="13"/>
        <v>0</v>
      </c>
      <c r="K208" s="61">
        <f>LARGE($E$2:$E$241,207)</f>
        <v>1.1000000000000001E-3</v>
      </c>
      <c r="L208" s="63">
        <f t="shared" si="14"/>
        <v>110</v>
      </c>
      <c r="M208" s="79">
        <f t="shared" si="15"/>
        <v>0</v>
      </c>
      <c r="N208" s="37">
        <v>207</v>
      </c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2:26" ht="17.25" thickTop="1" thickBot="1">
      <c r="B209">
        <f>wyniki!B249</f>
        <v>0</v>
      </c>
      <c r="C209" s="56">
        <f>wyniki!E249</f>
        <v>0</v>
      </c>
      <c r="D209" s="18">
        <v>2.0799999999999998E-3</v>
      </c>
      <c r="E209" s="56">
        <f t="shared" si="12"/>
        <v>2.0799999999999998E-3</v>
      </c>
      <c r="F209">
        <f>wyniki!$A$245</f>
        <v>0</v>
      </c>
      <c r="J209" s="79">
        <f t="shared" si="13"/>
        <v>0</v>
      </c>
      <c r="K209" s="61">
        <f>LARGE($E$2:$E$241,208)</f>
        <v>1.09E-3</v>
      </c>
      <c r="L209" s="63">
        <f t="shared" si="14"/>
        <v>109</v>
      </c>
      <c r="M209" s="79">
        <f t="shared" si="15"/>
        <v>0</v>
      </c>
      <c r="N209" s="37">
        <v>208</v>
      </c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2:26" ht="17.25" thickTop="1" thickBot="1">
      <c r="B210">
        <f>wyniki!B250</f>
        <v>0</v>
      </c>
      <c r="C210" s="56">
        <f>wyniki!E250</f>
        <v>0</v>
      </c>
      <c r="D210" s="18">
        <v>2.0899999999999998E-3</v>
      </c>
      <c r="E210" s="56">
        <f t="shared" si="12"/>
        <v>2.0899999999999998E-3</v>
      </c>
      <c r="F210">
        <f>wyniki!$A$245</f>
        <v>0</v>
      </c>
      <c r="J210" s="79">
        <f t="shared" si="13"/>
        <v>0</v>
      </c>
      <c r="K210" s="61">
        <f>LARGE($E$2:$E$241,209)</f>
        <v>1.08E-3</v>
      </c>
      <c r="L210" s="63">
        <f t="shared" si="14"/>
        <v>108</v>
      </c>
      <c r="M210" s="79">
        <f t="shared" si="15"/>
        <v>0</v>
      </c>
      <c r="N210" s="37">
        <v>209</v>
      </c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2:26" ht="17.25" thickTop="1" thickBot="1">
      <c r="B211">
        <f>wyniki!B251</f>
        <v>0</v>
      </c>
      <c r="C211" s="56">
        <f>wyniki!E251</f>
        <v>0</v>
      </c>
      <c r="D211" s="18">
        <v>2.0999999999999999E-3</v>
      </c>
      <c r="E211" s="56">
        <f t="shared" si="12"/>
        <v>2.0999999999999999E-3</v>
      </c>
      <c r="F211">
        <f>wyniki!$A$245</f>
        <v>0</v>
      </c>
      <c r="J211" s="79">
        <f t="shared" si="13"/>
        <v>0</v>
      </c>
      <c r="K211" s="61">
        <f>LARGE($E$2:$E$241,210)</f>
        <v>1.07E-3</v>
      </c>
      <c r="L211" s="63">
        <f t="shared" si="14"/>
        <v>107</v>
      </c>
      <c r="M211" s="79">
        <f t="shared" si="15"/>
        <v>0</v>
      </c>
      <c r="N211" s="37">
        <v>210</v>
      </c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2:26" ht="17.25" thickTop="1" thickBot="1">
      <c r="B212">
        <f>wyniki!B253</f>
        <v>0</v>
      </c>
      <c r="C212" s="56">
        <f>wyniki!E253</f>
        <v>0</v>
      </c>
      <c r="D212" s="18">
        <v>2.1099999999999999E-3</v>
      </c>
      <c r="E212" s="56">
        <f t="shared" si="12"/>
        <v>2.1099999999999999E-3</v>
      </c>
      <c r="F212">
        <f>wyniki!$A$252</f>
        <v>0</v>
      </c>
      <c r="J212" s="79">
        <f t="shared" si="13"/>
        <v>0</v>
      </c>
      <c r="K212" s="61">
        <f>LARGE($E$2:$E$241,211)</f>
        <v>1.06E-3</v>
      </c>
      <c r="L212" s="63">
        <f t="shared" si="14"/>
        <v>106</v>
      </c>
      <c r="M212" s="79">
        <f t="shared" si="15"/>
        <v>0</v>
      </c>
      <c r="N212" s="37">
        <v>211</v>
      </c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2:26" ht="17.25" thickTop="1" thickBot="1">
      <c r="B213">
        <f>wyniki!B254</f>
        <v>0</v>
      </c>
      <c r="C213" s="56">
        <f>wyniki!E254</f>
        <v>0</v>
      </c>
      <c r="D213" s="18">
        <v>2.1199999999999999E-3</v>
      </c>
      <c r="E213" s="56">
        <f t="shared" si="12"/>
        <v>2.1199999999999999E-3</v>
      </c>
      <c r="F213">
        <f>wyniki!$A$252</f>
        <v>0</v>
      </c>
      <c r="J213" s="79">
        <f t="shared" si="13"/>
        <v>0</v>
      </c>
      <c r="K213" s="61">
        <f>LARGE($E$2:$E$241,212)</f>
        <v>1.0499999999999999E-3</v>
      </c>
      <c r="L213" s="63">
        <f t="shared" si="14"/>
        <v>105</v>
      </c>
      <c r="M213" s="79">
        <f t="shared" si="15"/>
        <v>0</v>
      </c>
      <c r="N213" s="37">
        <v>212</v>
      </c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2:26" ht="17.25" thickTop="1" thickBot="1">
      <c r="B214">
        <f>wyniki!B255</f>
        <v>0</v>
      </c>
      <c r="C214" s="56">
        <f>wyniki!E255</f>
        <v>0</v>
      </c>
      <c r="D214" s="18">
        <v>2.1299999999999999E-3</v>
      </c>
      <c r="E214" s="56">
        <f t="shared" si="12"/>
        <v>2.1299999999999999E-3</v>
      </c>
      <c r="F214">
        <f>wyniki!$A$252</f>
        <v>0</v>
      </c>
      <c r="J214" s="79">
        <f t="shared" si="13"/>
        <v>0</v>
      </c>
      <c r="K214" s="61">
        <f>LARGE($E$2:$E$241,213)</f>
        <v>1.0399999999999999E-3</v>
      </c>
      <c r="L214" s="63">
        <f t="shared" si="14"/>
        <v>104</v>
      </c>
      <c r="M214" s="79">
        <f t="shared" si="15"/>
        <v>0</v>
      </c>
      <c r="N214" s="37">
        <v>213</v>
      </c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2:26" ht="17.25" thickTop="1" thickBot="1">
      <c r="B215">
        <f>wyniki!B256</f>
        <v>0</v>
      </c>
      <c r="C215" s="56">
        <f>wyniki!E256</f>
        <v>0</v>
      </c>
      <c r="D215" s="18">
        <v>2.14E-3</v>
      </c>
      <c r="E215" s="56">
        <f t="shared" si="12"/>
        <v>2.14E-3</v>
      </c>
      <c r="F215">
        <f>wyniki!$A$252</f>
        <v>0</v>
      </c>
      <c r="J215" s="79">
        <f t="shared" si="13"/>
        <v>0</v>
      </c>
      <c r="K215" s="61">
        <f>LARGE($E$2:$E$241,214)</f>
        <v>1.0300000000000001E-3</v>
      </c>
      <c r="L215" s="63">
        <f t="shared" si="14"/>
        <v>103</v>
      </c>
      <c r="M215" s="79">
        <f t="shared" si="15"/>
        <v>0</v>
      </c>
      <c r="N215" s="37">
        <v>214</v>
      </c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2:26" ht="17.25" thickTop="1" thickBot="1">
      <c r="B216">
        <f>wyniki!B257</f>
        <v>0</v>
      </c>
      <c r="C216" s="56">
        <f>wyniki!E257</f>
        <v>0</v>
      </c>
      <c r="D216" s="18">
        <v>2.15E-3</v>
      </c>
      <c r="E216" s="56">
        <f t="shared" si="12"/>
        <v>2.15E-3</v>
      </c>
      <c r="F216">
        <f>wyniki!$A$252</f>
        <v>0</v>
      </c>
      <c r="J216" s="79">
        <f t="shared" si="13"/>
        <v>0</v>
      </c>
      <c r="K216" s="61">
        <f>LARGE($E$2:$E$241,215)</f>
        <v>1.0200000000000001E-3</v>
      </c>
      <c r="L216" s="63">
        <f t="shared" si="14"/>
        <v>102</v>
      </c>
      <c r="M216" s="79">
        <f t="shared" si="15"/>
        <v>0</v>
      </c>
      <c r="N216" s="37">
        <v>215</v>
      </c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2:26" ht="17.25" thickTop="1" thickBot="1">
      <c r="B217">
        <f>wyniki!B258</f>
        <v>0</v>
      </c>
      <c r="C217" s="56">
        <f>wyniki!E258</f>
        <v>0</v>
      </c>
      <c r="D217" s="18">
        <v>2.16E-3</v>
      </c>
      <c r="E217" s="56">
        <f t="shared" si="12"/>
        <v>2.16E-3</v>
      </c>
      <c r="F217">
        <f>wyniki!$A$252</f>
        <v>0</v>
      </c>
      <c r="J217" s="79">
        <f t="shared" si="13"/>
        <v>0</v>
      </c>
      <c r="K217" s="61">
        <f>LARGE($E$2:$E$241,216)</f>
        <v>1.01E-3</v>
      </c>
      <c r="L217" s="63">
        <f t="shared" si="14"/>
        <v>101</v>
      </c>
      <c r="M217" s="79">
        <f t="shared" si="15"/>
        <v>0</v>
      </c>
      <c r="N217" s="37">
        <v>216</v>
      </c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2:26" ht="17.25" thickTop="1" thickBot="1">
      <c r="B218">
        <f>wyniki!B260</f>
        <v>0</v>
      </c>
      <c r="C218" s="56">
        <f>wyniki!E260</f>
        <v>0</v>
      </c>
      <c r="D218" s="18">
        <v>2.1700000000000001E-3</v>
      </c>
      <c r="E218" s="56">
        <f t="shared" si="12"/>
        <v>2.1700000000000001E-3</v>
      </c>
      <c r="F218">
        <f>wyniki!$A$259</f>
        <v>0</v>
      </c>
      <c r="J218" s="79">
        <f t="shared" si="13"/>
        <v>0</v>
      </c>
      <c r="K218" s="61">
        <f>LARGE($E$2:$E$241,217)</f>
        <v>1E-3</v>
      </c>
      <c r="L218" s="63">
        <f t="shared" si="14"/>
        <v>100</v>
      </c>
      <c r="M218" s="79">
        <f t="shared" si="15"/>
        <v>0</v>
      </c>
      <c r="N218" s="37">
        <v>217</v>
      </c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2:26" ht="17.25" thickTop="1" thickBot="1">
      <c r="B219">
        <f>wyniki!B261</f>
        <v>0</v>
      </c>
      <c r="C219" s="56">
        <f>wyniki!E261</f>
        <v>0</v>
      </c>
      <c r="D219" s="18">
        <v>2.1800000000000001E-3</v>
      </c>
      <c r="E219" s="56">
        <f t="shared" si="12"/>
        <v>2.1800000000000001E-3</v>
      </c>
      <c r="F219">
        <f>wyniki!$A$259</f>
        <v>0</v>
      </c>
      <c r="J219" s="79">
        <f t="shared" si="13"/>
        <v>0</v>
      </c>
      <c r="K219" s="61">
        <f>LARGE($E$2:$E$241,218)</f>
        <v>9.8999999999999999E-4</v>
      </c>
      <c r="L219" s="63">
        <f t="shared" si="14"/>
        <v>99</v>
      </c>
      <c r="M219" s="79">
        <f t="shared" si="15"/>
        <v>0</v>
      </c>
      <c r="N219" s="37">
        <v>218</v>
      </c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2:26" ht="17.25" thickTop="1" thickBot="1">
      <c r="B220">
        <f>wyniki!B262</f>
        <v>0</v>
      </c>
      <c r="C220" s="56">
        <f>wyniki!E262</f>
        <v>0</v>
      </c>
      <c r="D220" s="18">
        <v>2.1900000000000001E-3</v>
      </c>
      <c r="E220" s="56">
        <f t="shared" si="12"/>
        <v>2.1900000000000001E-3</v>
      </c>
      <c r="F220">
        <f>wyniki!$A$259</f>
        <v>0</v>
      </c>
      <c r="J220" s="79">
        <f t="shared" si="13"/>
        <v>0</v>
      </c>
      <c r="K220" s="61">
        <f>LARGE($E$2:$E$241,219)</f>
        <v>9.7999999999999997E-4</v>
      </c>
      <c r="L220" s="63">
        <f t="shared" si="14"/>
        <v>98</v>
      </c>
      <c r="M220" s="79">
        <f t="shared" si="15"/>
        <v>0</v>
      </c>
      <c r="N220" s="37">
        <v>219</v>
      </c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2:26" ht="17.25" thickTop="1" thickBot="1">
      <c r="B221">
        <f>wyniki!B263</f>
        <v>0</v>
      </c>
      <c r="C221" s="56">
        <f>wyniki!E263</f>
        <v>0</v>
      </c>
      <c r="D221" s="18">
        <v>2.2000000000000001E-3</v>
      </c>
      <c r="E221" s="56">
        <f t="shared" si="12"/>
        <v>2.2000000000000001E-3</v>
      </c>
      <c r="F221">
        <f>wyniki!$A$259</f>
        <v>0</v>
      </c>
      <c r="J221" s="79">
        <f t="shared" si="13"/>
        <v>0</v>
      </c>
      <c r="K221" s="61">
        <f>LARGE($E$2:$E$241,220)</f>
        <v>9.7000000000000005E-4</v>
      </c>
      <c r="L221" s="63">
        <f t="shared" si="14"/>
        <v>97</v>
      </c>
      <c r="M221" s="79">
        <f t="shared" si="15"/>
        <v>0</v>
      </c>
      <c r="N221" s="37">
        <v>220</v>
      </c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2:26" ht="17.25" thickTop="1" thickBot="1">
      <c r="B222">
        <f>wyniki!B264</f>
        <v>0</v>
      </c>
      <c r="C222" s="56">
        <f>wyniki!E264</f>
        <v>0</v>
      </c>
      <c r="D222" s="18">
        <v>2.2100000000000002E-3</v>
      </c>
      <c r="E222" s="56">
        <f t="shared" si="12"/>
        <v>2.2100000000000002E-3</v>
      </c>
      <c r="F222">
        <f>wyniki!$A$259</f>
        <v>0</v>
      </c>
      <c r="J222" s="79">
        <f t="shared" si="13"/>
        <v>0</v>
      </c>
      <c r="K222" s="61">
        <f>LARGE($E$2:$E$241,221)</f>
        <v>9.6000000000000002E-4</v>
      </c>
      <c r="L222" s="63">
        <f t="shared" si="14"/>
        <v>96</v>
      </c>
      <c r="M222" s="79">
        <f t="shared" si="15"/>
        <v>0</v>
      </c>
      <c r="N222" s="37">
        <v>221</v>
      </c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2:26" ht="17.25" thickTop="1" thickBot="1">
      <c r="B223">
        <f>wyniki!B265</f>
        <v>0</v>
      </c>
      <c r="C223" s="56">
        <f>wyniki!E265</f>
        <v>0</v>
      </c>
      <c r="D223" s="18">
        <v>2.2200000000000002E-3</v>
      </c>
      <c r="E223" s="56">
        <f t="shared" si="12"/>
        <v>2.2200000000000002E-3</v>
      </c>
      <c r="F223">
        <f>wyniki!$A$259</f>
        <v>0</v>
      </c>
      <c r="J223" s="79">
        <f t="shared" si="13"/>
        <v>0</v>
      </c>
      <c r="K223" s="61">
        <f>LARGE($E$2:$E$241,222)</f>
        <v>9.5E-4</v>
      </c>
      <c r="L223" s="63">
        <f t="shared" si="14"/>
        <v>95</v>
      </c>
      <c r="M223" s="79">
        <f t="shared" si="15"/>
        <v>0</v>
      </c>
      <c r="N223" s="37">
        <v>222</v>
      </c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2:26" ht="17.25" thickTop="1" thickBot="1">
      <c r="B224">
        <f>wyniki!B267</f>
        <v>0</v>
      </c>
      <c r="C224" s="56">
        <f>wyniki!E267</f>
        <v>0</v>
      </c>
      <c r="D224" s="18">
        <v>2.2300000000000002E-3</v>
      </c>
      <c r="E224" s="56">
        <f t="shared" si="12"/>
        <v>2.2300000000000002E-3</v>
      </c>
      <c r="F224">
        <f>wyniki!$A$266</f>
        <v>0</v>
      </c>
      <c r="J224" s="79">
        <f t="shared" si="13"/>
        <v>0</v>
      </c>
      <c r="K224" s="61">
        <f>LARGE($E$2:$E$241,223)</f>
        <v>9.3999999999999997E-4</v>
      </c>
      <c r="L224" s="63">
        <f t="shared" si="14"/>
        <v>94</v>
      </c>
      <c r="M224" s="79">
        <f t="shared" si="15"/>
        <v>0</v>
      </c>
      <c r="N224" s="37">
        <v>223</v>
      </c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2:26" ht="17.25" thickTop="1" thickBot="1">
      <c r="B225">
        <f>wyniki!B268</f>
        <v>0</v>
      </c>
      <c r="C225" s="56">
        <f>wyniki!E268</f>
        <v>0</v>
      </c>
      <c r="D225" s="18">
        <v>2.2399999999999998E-3</v>
      </c>
      <c r="E225" s="56">
        <f t="shared" si="12"/>
        <v>2.2399999999999998E-3</v>
      </c>
      <c r="F225">
        <f>wyniki!$A$266</f>
        <v>0</v>
      </c>
      <c r="J225" s="79">
        <f t="shared" si="13"/>
        <v>0</v>
      </c>
      <c r="K225" s="61">
        <f>LARGE($E$2:$E$241,224)</f>
        <v>9.3000000000000005E-4</v>
      </c>
      <c r="L225" s="63">
        <f t="shared" si="14"/>
        <v>93</v>
      </c>
      <c r="M225" s="79">
        <f t="shared" si="15"/>
        <v>0</v>
      </c>
      <c r="N225" s="37">
        <v>224</v>
      </c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2:26" ht="17.25" thickTop="1" thickBot="1">
      <c r="B226">
        <f>wyniki!B269</f>
        <v>0</v>
      </c>
      <c r="C226" s="56">
        <f>wyniki!E269</f>
        <v>0</v>
      </c>
      <c r="D226" s="18">
        <v>2.2499999999999998E-3</v>
      </c>
      <c r="E226" s="56">
        <f t="shared" si="12"/>
        <v>2.2499999999999998E-3</v>
      </c>
      <c r="F226">
        <f>wyniki!$A$266</f>
        <v>0</v>
      </c>
      <c r="J226" s="79">
        <f t="shared" si="13"/>
        <v>0</v>
      </c>
      <c r="K226" s="61">
        <f>LARGE($E$2:$E$241,225)</f>
        <v>9.2000000000000003E-4</v>
      </c>
      <c r="L226" s="63">
        <f t="shared" si="14"/>
        <v>92</v>
      </c>
      <c r="M226" s="79">
        <f t="shared" si="15"/>
        <v>0</v>
      </c>
      <c r="N226" s="37">
        <v>225</v>
      </c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2:26" ht="17.25" thickTop="1" thickBot="1">
      <c r="B227">
        <f>wyniki!B270</f>
        <v>0</v>
      </c>
      <c r="C227" s="56">
        <f>wyniki!E270</f>
        <v>0</v>
      </c>
      <c r="D227" s="18">
        <v>2.2599999999999999E-3</v>
      </c>
      <c r="E227" s="56">
        <f t="shared" si="12"/>
        <v>2.2599999999999999E-3</v>
      </c>
      <c r="F227">
        <f>wyniki!$A$266</f>
        <v>0</v>
      </c>
      <c r="J227" s="79">
        <f t="shared" si="13"/>
        <v>0</v>
      </c>
      <c r="K227" s="61">
        <f>LARGE($E$2:$E$241,226)</f>
        <v>9.1E-4</v>
      </c>
      <c r="L227" s="63">
        <f t="shared" si="14"/>
        <v>91</v>
      </c>
      <c r="M227" s="79">
        <f t="shared" si="15"/>
        <v>0</v>
      </c>
      <c r="N227" s="37">
        <v>226</v>
      </c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2:26" ht="17.25" thickTop="1" thickBot="1">
      <c r="B228">
        <f>wyniki!B271</f>
        <v>0</v>
      </c>
      <c r="C228" s="56">
        <f>wyniki!E271</f>
        <v>0</v>
      </c>
      <c r="D228" s="18">
        <v>2.2699999999999999E-3</v>
      </c>
      <c r="E228" s="56">
        <f t="shared" si="12"/>
        <v>2.2699999999999999E-3</v>
      </c>
      <c r="F228">
        <f>wyniki!$A$266</f>
        <v>0</v>
      </c>
      <c r="J228" s="79">
        <f t="shared" si="13"/>
        <v>0</v>
      </c>
      <c r="K228" s="61">
        <f>LARGE($E$2:$E$241,227)</f>
        <v>8.9999999999999998E-4</v>
      </c>
      <c r="L228" s="63">
        <f t="shared" si="14"/>
        <v>90</v>
      </c>
      <c r="M228" s="79">
        <f t="shared" si="15"/>
        <v>0</v>
      </c>
      <c r="N228" s="37">
        <v>227</v>
      </c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2:26" ht="17.25" thickTop="1" thickBot="1">
      <c r="B229">
        <f>wyniki!B272</f>
        <v>0</v>
      </c>
      <c r="C229" s="56">
        <f>wyniki!E272</f>
        <v>0</v>
      </c>
      <c r="D229" s="18">
        <v>2.2799999999999999E-3</v>
      </c>
      <c r="E229" s="56">
        <f t="shared" si="12"/>
        <v>2.2799999999999999E-3</v>
      </c>
      <c r="F229">
        <f>wyniki!$A$266</f>
        <v>0</v>
      </c>
      <c r="J229" s="79">
        <f t="shared" si="13"/>
        <v>0</v>
      </c>
      <c r="K229" s="61">
        <f>LARGE($E$2:$E$241,228)</f>
        <v>8.8999999999999995E-4</v>
      </c>
      <c r="L229" s="63">
        <f t="shared" si="14"/>
        <v>89</v>
      </c>
      <c r="M229" s="79">
        <f t="shared" si="15"/>
        <v>0</v>
      </c>
      <c r="N229" s="37">
        <v>228</v>
      </c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2:26" ht="17.25" thickTop="1" thickBot="1">
      <c r="B230">
        <f>wyniki!B274</f>
        <v>0</v>
      </c>
      <c r="C230" s="56">
        <f>wyniki!E274</f>
        <v>0</v>
      </c>
      <c r="D230" s="18">
        <v>2.2899999999999999E-3</v>
      </c>
      <c r="E230" s="56">
        <f t="shared" si="12"/>
        <v>2.2899999999999999E-3</v>
      </c>
      <c r="F230">
        <f>wyniki!$A$273</f>
        <v>0</v>
      </c>
      <c r="J230" s="79">
        <f t="shared" si="13"/>
        <v>0</v>
      </c>
      <c r="K230" s="61">
        <f>LARGE($E$2:$E$241,229)</f>
        <v>8.8000000000000003E-4</v>
      </c>
      <c r="L230" s="63">
        <f t="shared" si="14"/>
        <v>88</v>
      </c>
      <c r="M230" s="79">
        <f t="shared" si="15"/>
        <v>0</v>
      </c>
      <c r="N230" s="37">
        <v>229</v>
      </c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2:26" ht="17.25" thickTop="1" thickBot="1">
      <c r="B231">
        <f>wyniki!B275</f>
        <v>0</v>
      </c>
      <c r="C231" s="56">
        <f>wyniki!E275</f>
        <v>0</v>
      </c>
      <c r="D231" s="18">
        <v>2.3E-3</v>
      </c>
      <c r="E231" s="56">
        <f t="shared" si="12"/>
        <v>2.3E-3</v>
      </c>
      <c r="F231">
        <f>wyniki!$A$273</f>
        <v>0</v>
      </c>
      <c r="J231" s="79">
        <f t="shared" si="13"/>
        <v>0</v>
      </c>
      <c r="K231" s="61">
        <f>LARGE($E$2:$E$241,230)</f>
        <v>8.7000000000000001E-4</v>
      </c>
      <c r="L231" s="63">
        <f t="shared" si="14"/>
        <v>87</v>
      </c>
      <c r="M231" s="79">
        <f t="shared" si="15"/>
        <v>0</v>
      </c>
      <c r="N231" s="37">
        <v>230</v>
      </c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2:26" ht="17.25" thickTop="1" thickBot="1">
      <c r="B232">
        <f>wyniki!B276</f>
        <v>0</v>
      </c>
      <c r="C232" s="56">
        <f>wyniki!E276</f>
        <v>0</v>
      </c>
      <c r="D232" s="18">
        <v>2.31E-3</v>
      </c>
      <c r="E232" s="56">
        <f t="shared" si="12"/>
        <v>2.31E-3</v>
      </c>
      <c r="F232">
        <f>wyniki!$A$273</f>
        <v>0</v>
      </c>
      <c r="J232" s="79">
        <f t="shared" si="13"/>
        <v>0</v>
      </c>
      <c r="K232" s="61">
        <f>LARGE($E$2:$E$241,231)</f>
        <v>8.5999999999999998E-4</v>
      </c>
      <c r="L232" s="63">
        <f t="shared" si="14"/>
        <v>86</v>
      </c>
      <c r="M232" s="79">
        <f t="shared" si="15"/>
        <v>0</v>
      </c>
      <c r="N232" s="37">
        <v>231</v>
      </c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2:26" ht="17.25" thickTop="1" thickBot="1">
      <c r="B233">
        <f>wyniki!B277</f>
        <v>0</v>
      </c>
      <c r="C233" s="56">
        <f>wyniki!E277</f>
        <v>0</v>
      </c>
      <c r="D233" s="18">
        <v>2.32E-3</v>
      </c>
      <c r="E233" s="56">
        <f t="shared" si="12"/>
        <v>2.32E-3</v>
      </c>
      <c r="F233">
        <f>wyniki!$A$273</f>
        <v>0</v>
      </c>
      <c r="J233" s="79">
        <f t="shared" si="13"/>
        <v>0</v>
      </c>
      <c r="K233" s="61">
        <f>LARGE($E$2:$E$241,232)</f>
        <v>8.4999999999999995E-4</v>
      </c>
      <c r="L233" s="63">
        <f t="shared" si="14"/>
        <v>85</v>
      </c>
      <c r="M233" s="79">
        <f t="shared" si="15"/>
        <v>0</v>
      </c>
      <c r="N233" s="37">
        <v>232</v>
      </c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2:26" ht="17.25" thickTop="1" thickBot="1">
      <c r="B234">
        <f>wyniki!B278</f>
        <v>0</v>
      </c>
      <c r="C234" s="56">
        <f>wyniki!E278</f>
        <v>0</v>
      </c>
      <c r="D234" s="18">
        <v>2.33E-3</v>
      </c>
      <c r="E234" s="56">
        <f t="shared" si="12"/>
        <v>2.33E-3</v>
      </c>
      <c r="F234">
        <f>wyniki!$A$273</f>
        <v>0</v>
      </c>
      <c r="J234" s="79">
        <f t="shared" si="13"/>
        <v>0</v>
      </c>
      <c r="K234" s="61">
        <f>LARGE($E$2:$E$241,233)</f>
        <v>8.4000000000000003E-4</v>
      </c>
      <c r="L234" s="63">
        <f t="shared" si="14"/>
        <v>84</v>
      </c>
      <c r="M234" s="79">
        <f t="shared" si="15"/>
        <v>0</v>
      </c>
      <c r="N234" s="37">
        <v>233</v>
      </c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2:26" ht="17.25" thickTop="1" thickBot="1">
      <c r="B235">
        <f>wyniki!B279</f>
        <v>0</v>
      </c>
      <c r="C235" s="56">
        <f>wyniki!E279</f>
        <v>0</v>
      </c>
      <c r="D235" s="18">
        <v>2.3400000000000001E-3</v>
      </c>
      <c r="E235" s="56">
        <f t="shared" si="12"/>
        <v>2.3400000000000001E-3</v>
      </c>
      <c r="F235">
        <f>wyniki!$A$273</f>
        <v>0</v>
      </c>
      <c r="J235" s="79">
        <f t="shared" si="13"/>
        <v>0</v>
      </c>
      <c r="K235" s="61">
        <f>LARGE($E$2:$E$241,234)</f>
        <v>8.3000000000000001E-4</v>
      </c>
      <c r="L235" s="63">
        <f t="shared" si="14"/>
        <v>83</v>
      </c>
      <c r="M235" s="79">
        <f t="shared" si="15"/>
        <v>0</v>
      </c>
      <c r="N235" s="37">
        <v>234</v>
      </c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2:26" ht="17.25" thickTop="1" thickBot="1">
      <c r="B236">
        <f>wyniki!B281</f>
        <v>0</v>
      </c>
      <c r="C236" s="56">
        <f>wyniki!E281</f>
        <v>0</v>
      </c>
      <c r="D236" s="18">
        <v>2.3500000000000001E-3</v>
      </c>
      <c r="E236" s="56">
        <f t="shared" si="12"/>
        <v>2.3500000000000001E-3</v>
      </c>
      <c r="F236">
        <f>wyniki!$A$280</f>
        <v>0</v>
      </c>
      <c r="J236" s="79">
        <f t="shared" si="13"/>
        <v>0</v>
      </c>
      <c r="K236" s="61">
        <f>LARGE($E$2:$E$241,235)</f>
        <v>8.1999999999999998E-4</v>
      </c>
      <c r="L236" s="63">
        <f t="shared" si="14"/>
        <v>82</v>
      </c>
      <c r="M236" s="79">
        <f t="shared" si="15"/>
        <v>0</v>
      </c>
      <c r="N236" s="37">
        <v>235</v>
      </c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2:26" ht="17.25" thickTop="1" thickBot="1">
      <c r="B237">
        <f>wyniki!B282</f>
        <v>0</v>
      </c>
      <c r="C237" s="56">
        <f>wyniki!E282</f>
        <v>0</v>
      </c>
      <c r="D237" s="18">
        <v>2.3600000000000001E-3</v>
      </c>
      <c r="E237" s="56">
        <f t="shared" si="12"/>
        <v>2.3600000000000001E-3</v>
      </c>
      <c r="F237">
        <f>wyniki!$A$280</f>
        <v>0</v>
      </c>
      <c r="J237" s="79">
        <f t="shared" si="13"/>
        <v>0</v>
      </c>
      <c r="K237" s="61">
        <f>LARGE($E$2:$E$241,236)</f>
        <v>8.0999999999999996E-4</v>
      </c>
      <c r="L237" s="63">
        <f t="shared" si="14"/>
        <v>81</v>
      </c>
      <c r="M237" s="79">
        <f t="shared" si="15"/>
        <v>0</v>
      </c>
      <c r="N237" s="37">
        <v>236</v>
      </c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2:26" ht="17.25" thickTop="1" thickBot="1">
      <c r="B238">
        <f>wyniki!B283</f>
        <v>0</v>
      </c>
      <c r="C238" s="56">
        <f>wyniki!E283</f>
        <v>0</v>
      </c>
      <c r="D238" s="18">
        <v>2.3700000000000001E-3</v>
      </c>
      <c r="E238" s="56">
        <f t="shared" si="12"/>
        <v>2.3700000000000001E-3</v>
      </c>
      <c r="F238">
        <f>wyniki!$A$280</f>
        <v>0</v>
      </c>
      <c r="J238" s="79">
        <f t="shared" si="13"/>
        <v>0</v>
      </c>
      <c r="K238" s="61">
        <f>LARGE($E$2:$E$241,237)</f>
        <v>8.0000000000000004E-4</v>
      </c>
      <c r="L238" s="63">
        <f t="shared" si="14"/>
        <v>80</v>
      </c>
      <c r="M238" s="79">
        <f t="shared" si="15"/>
        <v>0</v>
      </c>
      <c r="N238" s="37">
        <v>237</v>
      </c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2:26" ht="17.25" thickTop="1" thickBot="1">
      <c r="B239">
        <f>wyniki!B284</f>
        <v>0</v>
      </c>
      <c r="C239" s="56">
        <f>wyniki!E284</f>
        <v>0</v>
      </c>
      <c r="D239" s="18">
        <v>2.3800000000000002E-3</v>
      </c>
      <c r="E239" s="56">
        <f t="shared" si="12"/>
        <v>2.3800000000000002E-3</v>
      </c>
      <c r="F239">
        <f>wyniki!$A$280</f>
        <v>0</v>
      </c>
      <c r="J239" s="79">
        <f t="shared" si="13"/>
        <v>0</v>
      </c>
      <c r="K239" s="61">
        <f>LARGE($E$2:$E$241,238)</f>
        <v>7.9000000000000001E-4</v>
      </c>
      <c r="L239" s="63">
        <f t="shared" si="14"/>
        <v>79</v>
      </c>
      <c r="M239" s="79">
        <f t="shared" si="15"/>
        <v>0</v>
      </c>
      <c r="N239" s="37">
        <v>238</v>
      </c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2:26" ht="17.25" thickTop="1" thickBot="1">
      <c r="B240">
        <f>wyniki!B285</f>
        <v>0</v>
      </c>
      <c r="C240" s="56">
        <f>wyniki!E285</f>
        <v>0</v>
      </c>
      <c r="D240" s="18">
        <v>2.3900000000000002E-3</v>
      </c>
      <c r="E240" s="56">
        <f t="shared" si="12"/>
        <v>2.3900000000000002E-3</v>
      </c>
      <c r="F240">
        <f>wyniki!$A$280</f>
        <v>0</v>
      </c>
      <c r="J240" s="79">
        <f t="shared" si="13"/>
        <v>0</v>
      </c>
      <c r="K240" s="61">
        <f>LARGE($E$2:$E$241,239)</f>
        <v>7.2000000000000005E-4</v>
      </c>
      <c r="L240" s="63">
        <f t="shared" si="14"/>
        <v>72</v>
      </c>
      <c r="M240" s="79" t="str">
        <f t="shared" si="15"/>
        <v>SP2 Mława</v>
      </c>
      <c r="N240" s="37">
        <v>239</v>
      </c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7.25" thickTop="1" thickBot="1">
      <c r="B241">
        <f>wyniki!B286</f>
        <v>0</v>
      </c>
      <c r="C241" s="56">
        <f>wyniki!E286</f>
        <v>0</v>
      </c>
      <c r="D241" s="18">
        <v>2.3999999999999998E-3</v>
      </c>
      <c r="E241" s="56">
        <f t="shared" si="12"/>
        <v>2.3999999999999998E-3</v>
      </c>
      <c r="F241">
        <f>wyniki!$A$280</f>
        <v>0</v>
      </c>
      <c r="J241" s="79">
        <f t="shared" si="13"/>
        <v>0</v>
      </c>
      <c r="K241" s="61">
        <f>LARGE($E$2:$E$241,240)</f>
        <v>1.2E-4</v>
      </c>
      <c r="L241" s="63">
        <f t="shared" si="14"/>
        <v>12</v>
      </c>
      <c r="M241" s="79" t="str">
        <f t="shared" si="15"/>
        <v>PSP24 Radom</v>
      </c>
      <c r="N241" s="37">
        <v>240</v>
      </c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thickTop="1">
      <c r="A242" s="21"/>
      <c r="B242" s="21"/>
      <c r="C242" s="21"/>
      <c r="D242" s="21"/>
      <c r="E242" s="21"/>
      <c r="F242" s="21"/>
      <c r="G242" s="21"/>
      <c r="H242" s="21"/>
      <c r="I242" s="21"/>
      <c r="J242" s="88"/>
      <c r="K242" s="22"/>
      <c r="L242" s="23"/>
      <c r="M242" s="88"/>
      <c r="N242" s="66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>
      <c r="A243" s="21"/>
      <c r="B243" s="21"/>
      <c r="C243" s="21"/>
      <c r="D243" s="21"/>
      <c r="E243" s="21"/>
      <c r="F243" s="21"/>
      <c r="G243" s="21"/>
      <c r="H243" s="21"/>
      <c r="I243" s="21"/>
      <c r="J243" s="88"/>
      <c r="K243" s="22"/>
      <c r="L243" s="23"/>
      <c r="M243" s="88"/>
      <c r="N243" s="66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>
      <c r="A244" s="21"/>
      <c r="B244" s="21"/>
      <c r="C244" s="21"/>
      <c r="D244" s="21"/>
      <c r="E244" s="21"/>
      <c r="F244" s="21"/>
      <c r="G244" s="21"/>
      <c r="H244" s="21"/>
      <c r="I244" s="21"/>
      <c r="J244" s="88"/>
      <c r="K244" s="22"/>
      <c r="L244" s="23"/>
      <c r="M244" s="88"/>
      <c r="N244" s="66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>
      <c r="A245" s="21"/>
      <c r="B245" s="21"/>
      <c r="C245" s="21"/>
      <c r="D245" s="21"/>
      <c r="E245" s="21"/>
      <c r="F245" s="21"/>
      <c r="G245" s="21"/>
      <c r="H245" s="21"/>
      <c r="I245" s="21"/>
      <c r="J245" s="88"/>
      <c r="K245" s="22"/>
      <c r="L245" s="23"/>
      <c r="M245" s="88"/>
      <c r="N245" s="66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>
      <c r="A246" s="21"/>
      <c r="B246" s="21"/>
      <c r="C246" s="21"/>
      <c r="D246" s="21"/>
      <c r="E246" s="21"/>
      <c r="F246" s="21"/>
      <c r="G246" s="21"/>
      <c r="H246" s="21"/>
      <c r="I246" s="21"/>
      <c r="J246" s="88"/>
      <c r="K246" s="22"/>
      <c r="L246" s="23"/>
      <c r="M246" s="88"/>
      <c r="N246" s="66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>
      <c r="A247" s="21"/>
      <c r="B247" s="21"/>
      <c r="C247" s="21"/>
      <c r="D247" s="21"/>
      <c r="E247" s="21"/>
      <c r="F247" s="21"/>
      <c r="G247" s="21"/>
      <c r="H247" s="21"/>
      <c r="I247" s="21"/>
      <c r="J247" s="88"/>
      <c r="K247" s="22"/>
      <c r="L247" s="23"/>
      <c r="M247" s="88"/>
      <c r="N247" s="66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>
      <c r="A248" s="21"/>
      <c r="B248" s="21"/>
      <c r="C248" s="21"/>
      <c r="D248" s="21"/>
      <c r="E248" s="21"/>
      <c r="F248" s="21"/>
      <c r="G248" s="21"/>
      <c r="H248" s="21"/>
      <c r="I248" s="21"/>
      <c r="J248" s="88"/>
      <c r="K248" s="22"/>
      <c r="L248" s="23"/>
      <c r="M248" s="88"/>
      <c r="N248" s="66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>
      <c r="A249" s="21"/>
      <c r="B249" s="21"/>
      <c r="C249" s="21"/>
      <c r="D249" s="21"/>
      <c r="E249" s="21"/>
      <c r="F249" s="21"/>
      <c r="G249" s="21"/>
      <c r="H249" s="21"/>
      <c r="I249" s="21"/>
      <c r="J249" s="88"/>
      <c r="K249" s="22"/>
      <c r="L249" s="23"/>
      <c r="M249" s="88"/>
      <c r="N249" s="66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>
      <c r="A250" s="21"/>
      <c r="B250" s="21"/>
      <c r="C250" s="21"/>
      <c r="D250" s="21"/>
      <c r="E250" s="21"/>
      <c r="F250" s="21"/>
      <c r="G250" s="21"/>
      <c r="H250" s="21"/>
      <c r="I250" s="21"/>
      <c r="J250" s="88"/>
      <c r="K250" s="22"/>
      <c r="L250" s="23"/>
      <c r="M250" s="88"/>
      <c r="N250" s="66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>
      <c r="A251" s="21"/>
      <c r="B251" s="21"/>
      <c r="C251" s="21"/>
      <c r="D251" s="21"/>
      <c r="E251" s="21"/>
      <c r="F251" s="21"/>
      <c r="G251" s="21"/>
      <c r="H251" s="21"/>
      <c r="I251" s="21"/>
      <c r="J251" s="88"/>
      <c r="K251" s="22"/>
      <c r="L251" s="23"/>
      <c r="M251" s="88"/>
      <c r="N251" s="66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>
      <c r="A252" s="21"/>
      <c r="B252" s="21"/>
      <c r="C252" s="21"/>
      <c r="D252" s="21"/>
      <c r="E252" s="21"/>
      <c r="F252" s="21"/>
      <c r="G252" s="21"/>
      <c r="H252" s="21"/>
      <c r="I252" s="21"/>
      <c r="J252" s="88"/>
      <c r="K252" s="22"/>
      <c r="L252" s="23"/>
      <c r="M252" s="88"/>
      <c r="N252" s="66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>
      <c r="A253" s="21"/>
      <c r="B253" s="21"/>
      <c r="C253" s="21"/>
      <c r="D253" s="21"/>
      <c r="E253" s="21"/>
      <c r="F253" s="21"/>
      <c r="G253" s="21"/>
      <c r="H253" s="21"/>
      <c r="I253" s="21"/>
      <c r="J253" s="88"/>
      <c r="K253" s="22"/>
      <c r="L253" s="23"/>
      <c r="M253" s="88"/>
      <c r="N253" s="66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>
      <c r="A254" s="21"/>
      <c r="B254" s="21"/>
      <c r="C254" s="21"/>
      <c r="D254" s="21"/>
      <c r="E254" s="21"/>
      <c r="F254" s="21"/>
      <c r="G254" s="21"/>
      <c r="H254" s="21"/>
      <c r="I254" s="21"/>
      <c r="J254" s="88"/>
      <c r="K254" s="22"/>
      <c r="L254" s="23"/>
      <c r="M254" s="88"/>
      <c r="N254" s="66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>
      <c r="A255" s="21"/>
      <c r="B255" s="21"/>
      <c r="C255" s="21"/>
      <c r="D255" s="21"/>
      <c r="E255" s="21"/>
      <c r="F255" s="21"/>
      <c r="G255" s="21"/>
      <c r="H255" s="21"/>
      <c r="I255" s="21"/>
      <c r="J255" s="88"/>
      <c r="K255" s="22"/>
      <c r="L255" s="23"/>
      <c r="M255" s="88"/>
      <c r="N255" s="66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>
      <c r="A256" s="21"/>
      <c r="B256" s="21"/>
      <c r="C256" s="21"/>
      <c r="D256" s="21"/>
      <c r="E256" s="21"/>
      <c r="F256" s="21"/>
      <c r="G256" s="21"/>
      <c r="H256" s="21"/>
      <c r="I256" s="21"/>
      <c r="J256" s="88"/>
      <c r="K256" s="22"/>
      <c r="L256" s="23"/>
      <c r="M256" s="88"/>
      <c r="N256" s="66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>
      <c r="A257" s="21"/>
      <c r="B257" s="21"/>
      <c r="C257" s="21"/>
      <c r="D257" s="21"/>
      <c r="E257" s="21"/>
      <c r="F257" s="21"/>
      <c r="G257" s="21"/>
      <c r="H257" s="21"/>
      <c r="I257" s="21"/>
      <c r="J257" s="88"/>
      <c r="K257" s="22"/>
      <c r="L257" s="23"/>
      <c r="M257" s="88"/>
      <c r="N257" s="66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>
      <c r="A258" s="21"/>
      <c r="B258" s="21"/>
      <c r="C258" s="21"/>
      <c r="D258" s="21"/>
      <c r="E258" s="21"/>
      <c r="F258" s="21"/>
      <c r="G258" s="21"/>
      <c r="H258" s="21"/>
      <c r="I258" s="21"/>
      <c r="J258" s="88"/>
      <c r="K258" s="22"/>
      <c r="L258" s="23"/>
      <c r="M258" s="88"/>
      <c r="N258" s="66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>
      <c r="A259" s="21"/>
      <c r="B259" s="21"/>
      <c r="C259" s="21"/>
      <c r="D259" s="21"/>
      <c r="E259" s="21"/>
      <c r="F259" s="21"/>
      <c r="G259" s="21"/>
      <c r="H259" s="21"/>
      <c r="I259" s="21"/>
      <c r="J259" s="88"/>
      <c r="K259" s="22"/>
      <c r="L259" s="23"/>
      <c r="M259" s="88"/>
      <c r="N259" s="66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>
      <c r="A260" s="21"/>
      <c r="B260" s="21"/>
      <c r="C260" s="21"/>
      <c r="D260" s="21"/>
      <c r="E260" s="21"/>
      <c r="F260" s="21"/>
      <c r="G260" s="21"/>
      <c r="H260" s="21"/>
      <c r="I260" s="21"/>
      <c r="J260" s="88"/>
      <c r="K260" s="22"/>
      <c r="L260" s="23"/>
      <c r="M260" s="88"/>
      <c r="N260" s="66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>
      <c r="A261" s="21"/>
      <c r="B261" s="21"/>
      <c r="C261" s="21"/>
      <c r="D261" s="21"/>
      <c r="E261" s="21"/>
      <c r="F261" s="21"/>
      <c r="G261" s="21"/>
      <c r="H261" s="21"/>
      <c r="I261" s="21"/>
      <c r="J261" s="88"/>
      <c r="K261" s="22"/>
      <c r="L261" s="23"/>
      <c r="M261" s="88"/>
      <c r="N261" s="66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>
      <c r="A262" s="21"/>
      <c r="B262" s="21"/>
      <c r="C262" s="21"/>
      <c r="D262" s="21"/>
      <c r="E262" s="21"/>
      <c r="F262" s="21"/>
      <c r="G262" s="21"/>
      <c r="H262" s="21"/>
      <c r="I262" s="21"/>
      <c r="J262" s="88"/>
      <c r="K262" s="22"/>
      <c r="L262" s="23"/>
      <c r="M262" s="88"/>
      <c r="N262" s="66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>
      <c r="A263" s="21"/>
      <c r="B263" s="21"/>
      <c r="C263" s="21"/>
      <c r="D263" s="21"/>
      <c r="E263" s="21"/>
      <c r="F263" s="21"/>
      <c r="G263" s="21"/>
      <c r="H263" s="21"/>
      <c r="I263" s="21"/>
      <c r="J263" s="88"/>
      <c r="K263" s="22"/>
      <c r="L263" s="23"/>
      <c r="M263" s="88"/>
      <c r="N263" s="66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>
      <c r="A264" s="21"/>
      <c r="B264" s="21"/>
      <c r="C264" s="21"/>
      <c r="D264" s="21"/>
      <c r="E264" s="21"/>
      <c r="F264" s="21"/>
      <c r="G264" s="21"/>
      <c r="H264" s="21"/>
      <c r="I264" s="21"/>
      <c r="J264" s="88"/>
      <c r="K264" s="22"/>
      <c r="L264" s="23"/>
      <c r="M264" s="88"/>
      <c r="N264" s="66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>
      <c r="A265" s="21"/>
      <c r="B265" s="21"/>
      <c r="C265" s="21"/>
      <c r="D265" s="21"/>
      <c r="E265" s="21"/>
      <c r="F265" s="21"/>
      <c r="G265" s="21"/>
      <c r="H265" s="21"/>
      <c r="I265" s="21"/>
      <c r="J265" s="88"/>
      <c r="K265" s="22"/>
      <c r="L265" s="23"/>
      <c r="M265" s="88"/>
      <c r="N265" s="66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>
      <c r="A266" s="21"/>
      <c r="B266" s="21"/>
      <c r="C266" s="21"/>
      <c r="D266" s="21"/>
      <c r="E266" s="21"/>
      <c r="F266" s="21"/>
      <c r="G266" s="21"/>
      <c r="H266" s="21"/>
      <c r="I266" s="21"/>
      <c r="J266" s="88"/>
      <c r="K266" s="22"/>
      <c r="L266" s="23"/>
      <c r="M266" s="88"/>
      <c r="N266" s="66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>
      <c r="A267" s="21"/>
      <c r="B267" s="21"/>
      <c r="C267" s="21"/>
      <c r="D267" s="21"/>
      <c r="E267" s="21"/>
      <c r="F267" s="21"/>
      <c r="G267" s="21"/>
      <c r="H267" s="21"/>
      <c r="I267" s="21"/>
      <c r="J267" s="88"/>
      <c r="K267" s="22"/>
      <c r="L267" s="23"/>
      <c r="M267" s="88"/>
      <c r="N267" s="66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>
      <c r="A268" s="21"/>
      <c r="B268" s="21"/>
      <c r="C268" s="21"/>
      <c r="D268" s="21"/>
      <c r="E268" s="21"/>
      <c r="F268" s="21"/>
      <c r="G268" s="21"/>
      <c r="H268" s="21"/>
      <c r="I268" s="21"/>
      <c r="J268" s="88"/>
      <c r="K268" s="22"/>
      <c r="L268" s="23"/>
      <c r="M268" s="88"/>
      <c r="N268" s="66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>
      <c r="A269" s="21"/>
      <c r="B269" s="21"/>
      <c r="C269" s="21"/>
      <c r="D269" s="21"/>
      <c r="E269" s="21"/>
      <c r="F269" s="21"/>
      <c r="G269" s="21"/>
      <c r="H269" s="21"/>
      <c r="I269" s="21"/>
      <c r="J269" s="88"/>
      <c r="K269" s="22"/>
      <c r="L269" s="23"/>
      <c r="M269" s="88"/>
      <c r="N269" s="66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>
      <c r="A270" s="21"/>
      <c r="B270" s="21"/>
      <c r="C270" s="21"/>
      <c r="D270" s="21"/>
      <c r="E270" s="21"/>
      <c r="F270" s="21"/>
      <c r="G270" s="21"/>
      <c r="H270" s="21"/>
      <c r="I270" s="21"/>
      <c r="J270" s="88"/>
      <c r="K270" s="22"/>
      <c r="L270" s="23"/>
      <c r="M270" s="88"/>
      <c r="N270" s="66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>
      <c r="A271" s="21"/>
      <c r="B271" s="21"/>
      <c r="C271" s="21"/>
      <c r="D271" s="21"/>
      <c r="E271" s="21"/>
      <c r="F271" s="21"/>
      <c r="G271" s="21"/>
      <c r="H271" s="21"/>
      <c r="I271" s="21"/>
      <c r="J271" s="88"/>
      <c r="K271" s="22"/>
      <c r="L271" s="23"/>
      <c r="M271" s="88"/>
      <c r="N271" s="66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>
      <c r="A272" s="21"/>
      <c r="B272" s="21"/>
      <c r="C272" s="21"/>
      <c r="D272" s="21"/>
      <c r="E272" s="21"/>
      <c r="F272" s="21"/>
      <c r="G272" s="21"/>
      <c r="H272" s="21"/>
      <c r="I272" s="21"/>
      <c r="J272" s="88"/>
      <c r="K272" s="22"/>
      <c r="L272" s="23"/>
      <c r="M272" s="88"/>
      <c r="N272" s="66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>
      <c r="A273" s="21"/>
      <c r="B273" s="21"/>
      <c r="C273" s="21"/>
      <c r="D273" s="21"/>
      <c r="E273" s="21"/>
      <c r="F273" s="21"/>
      <c r="G273" s="21"/>
      <c r="H273" s="21"/>
      <c r="I273" s="21"/>
      <c r="J273" s="88"/>
      <c r="K273" s="22"/>
      <c r="L273" s="23"/>
      <c r="M273" s="88"/>
      <c r="N273" s="66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>
      <c r="A274" s="21"/>
      <c r="B274" s="21"/>
      <c r="C274" s="21"/>
      <c r="D274" s="21"/>
      <c r="E274" s="21"/>
      <c r="F274" s="21"/>
      <c r="G274" s="21"/>
      <c r="H274" s="21"/>
      <c r="I274" s="21"/>
      <c r="J274" s="88"/>
      <c r="K274" s="22"/>
      <c r="L274" s="23"/>
      <c r="M274" s="88"/>
      <c r="N274" s="66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>
      <c r="A275" s="21"/>
      <c r="B275" s="21"/>
      <c r="C275" s="21"/>
      <c r="D275" s="21"/>
      <c r="E275" s="21"/>
      <c r="F275" s="21"/>
      <c r="G275" s="21"/>
      <c r="H275" s="21"/>
      <c r="I275" s="21"/>
      <c r="J275" s="88"/>
      <c r="K275" s="22"/>
      <c r="L275" s="23"/>
      <c r="M275" s="88"/>
      <c r="N275" s="66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>
      <c r="A276" s="21"/>
      <c r="B276" s="21"/>
      <c r="C276" s="21"/>
      <c r="D276" s="21"/>
      <c r="E276" s="21"/>
      <c r="F276" s="21"/>
      <c r="G276" s="21"/>
      <c r="H276" s="21"/>
      <c r="I276" s="21"/>
      <c r="J276" s="88"/>
      <c r="K276" s="22"/>
      <c r="L276" s="23"/>
      <c r="M276" s="88"/>
      <c r="N276" s="66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>
      <c r="A277" s="21"/>
      <c r="B277" s="21"/>
      <c r="C277" s="21"/>
      <c r="D277" s="21"/>
      <c r="E277" s="21"/>
      <c r="F277" s="21"/>
      <c r="G277" s="21"/>
      <c r="H277" s="21"/>
      <c r="I277" s="21"/>
      <c r="J277" s="88"/>
      <c r="K277" s="22"/>
      <c r="L277" s="23"/>
      <c r="M277" s="88"/>
      <c r="N277" s="66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>
      <c r="A278" s="21"/>
      <c r="B278" s="21"/>
      <c r="C278" s="21"/>
      <c r="D278" s="21"/>
      <c r="E278" s="21"/>
      <c r="F278" s="21"/>
      <c r="G278" s="21"/>
      <c r="H278" s="21"/>
      <c r="I278" s="21"/>
      <c r="J278" s="88"/>
      <c r="K278" s="22"/>
      <c r="L278" s="23"/>
      <c r="M278" s="88"/>
      <c r="N278" s="66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>
      <c r="A279" s="21"/>
      <c r="B279" s="21"/>
      <c r="C279" s="21"/>
      <c r="D279" s="21"/>
      <c r="E279" s="21"/>
      <c r="F279" s="21"/>
      <c r="G279" s="21"/>
      <c r="H279" s="21"/>
      <c r="I279" s="21"/>
      <c r="J279" s="88"/>
      <c r="K279" s="22"/>
      <c r="L279" s="23"/>
      <c r="M279" s="88"/>
      <c r="N279" s="66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>
      <c r="A280" s="21"/>
      <c r="B280" s="21"/>
      <c r="C280" s="21"/>
      <c r="D280" s="21"/>
      <c r="E280" s="21"/>
      <c r="F280" s="21"/>
      <c r="G280" s="21"/>
      <c r="H280" s="21"/>
      <c r="I280" s="21"/>
      <c r="J280" s="88"/>
      <c r="K280" s="22"/>
      <c r="L280" s="23"/>
      <c r="M280" s="88"/>
      <c r="N280" s="66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>
      <c r="A281" s="21"/>
      <c r="B281" s="21"/>
      <c r="C281" s="21"/>
      <c r="D281" s="21"/>
      <c r="E281" s="21"/>
      <c r="F281" s="21"/>
      <c r="G281" s="21"/>
      <c r="H281" s="21"/>
      <c r="I281" s="21"/>
      <c r="J281" s="88"/>
      <c r="K281" s="22"/>
      <c r="L281" s="23"/>
      <c r="M281" s="88"/>
      <c r="N281" s="66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>
      <c r="A282" s="21"/>
      <c r="B282" s="21"/>
      <c r="C282" s="21"/>
      <c r="D282" s="21"/>
      <c r="E282" s="21"/>
      <c r="F282" s="21"/>
      <c r="G282" s="21"/>
      <c r="H282" s="21"/>
      <c r="I282" s="21"/>
      <c r="J282" s="88"/>
      <c r="K282" s="22"/>
      <c r="L282" s="23"/>
      <c r="M282" s="88"/>
      <c r="N282" s="66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>
      <c r="A283" s="21"/>
      <c r="B283" s="21"/>
      <c r="C283" s="21"/>
      <c r="D283" s="21"/>
      <c r="E283" s="21"/>
      <c r="F283" s="21"/>
      <c r="G283" s="21"/>
      <c r="H283" s="21"/>
      <c r="I283" s="21"/>
      <c r="J283" s="88"/>
      <c r="K283" s="22"/>
      <c r="L283" s="23"/>
      <c r="M283" s="88"/>
      <c r="N283" s="66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>
      <c r="A284" s="21"/>
      <c r="B284" s="21"/>
      <c r="C284" s="21"/>
      <c r="D284" s="21"/>
      <c r="E284" s="21"/>
      <c r="F284" s="21"/>
      <c r="G284" s="21"/>
      <c r="H284" s="21"/>
      <c r="I284" s="21"/>
      <c r="J284" s="88"/>
      <c r="K284" s="22"/>
      <c r="L284" s="23"/>
      <c r="M284" s="88"/>
      <c r="N284" s="66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>
      <c r="A285" s="21"/>
      <c r="B285" s="21"/>
      <c r="C285" s="21"/>
      <c r="D285" s="21"/>
      <c r="E285" s="21"/>
      <c r="F285" s="21"/>
      <c r="G285" s="21"/>
      <c r="H285" s="21"/>
      <c r="I285" s="21"/>
      <c r="J285" s="88"/>
      <c r="K285" s="22"/>
      <c r="L285" s="23"/>
      <c r="M285" s="88"/>
      <c r="N285" s="66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>
      <c r="A286" s="21"/>
      <c r="B286" s="21"/>
      <c r="C286" s="21"/>
      <c r="D286" s="21"/>
      <c r="E286" s="21"/>
      <c r="F286" s="21"/>
      <c r="G286" s="21"/>
      <c r="H286" s="21"/>
      <c r="I286" s="21"/>
      <c r="J286" s="88"/>
      <c r="K286" s="22"/>
      <c r="L286" s="23"/>
      <c r="M286" s="88"/>
      <c r="N286" s="66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>
      <c r="A287" s="21"/>
      <c r="B287" s="21"/>
      <c r="C287" s="21"/>
      <c r="D287" s="21"/>
      <c r="E287" s="21"/>
      <c r="F287" s="21"/>
      <c r="G287" s="21"/>
      <c r="H287" s="21"/>
      <c r="I287" s="21"/>
      <c r="J287" s="88"/>
      <c r="K287" s="22"/>
      <c r="L287" s="23"/>
      <c r="M287" s="88"/>
      <c r="N287" s="66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>
      <c r="A288" s="21"/>
      <c r="B288" s="21"/>
      <c r="C288" s="21"/>
      <c r="D288" s="21"/>
      <c r="E288" s="21"/>
      <c r="F288" s="21"/>
      <c r="G288" s="21"/>
      <c r="H288" s="21"/>
      <c r="I288" s="21"/>
      <c r="J288" s="88"/>
      <c r="K288" s="22"/>
      <c r="L288" s="23"/>
      <c r="M288" s="88"/>
      <c r="N288" s="66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>
      <c r="A289" s="21"/>
      <c r="B289" s="21"/>
      <c r="C289" s="21"/>
      <c r="D289" s="21"/>
      <c r="E289" s="21"/>
      <c r="F289" s="21"/>
      <c r="G289" s="21"/>
      <c r="H289" s="21"/>
      <c r="I289" s="21"/>
      <c r="J289" s="88"/>
      <c r="K289" s="22"/>
      <c r="L289" s="23"/>
      <c r="M289" s="88"/>
      <c r="N289" s="66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>
      <c r="A290" s="21"/>
      <c r="B290" s="21"/>
      <c r="C290" s="21"/>
      <c r="D290" s="21"/>
      <c r="E290" s="21"/>
      <c r="F290" s="21"/>
      <c r="G290" s="21"/>
      <c r="H290" s="21"/>
      <c r="I290" s="21"/>
      <c r="J290" s="88"/>
      <c r="K290" s="22"/>
      <c r="L290" s="23"/>
      <c r="M290" s="88"/>
      <c r="N290" s="66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>
      <c r="A291" s="21"/>
      <c r="B291" s="21"/>
      <c r="C291" s="21"/>
      <c r="D291" s="21"/>
      <c r="E291" s="21"/>
      <c r="F291" s="21"/>
      <c r="G291" s="21"/>
      <c r="H291" s="21"/>
      <c r="I291" s="21"/>
      <c r="J291" s="88"/>
      <c r="K291" s="22"/>
      <c r="L291" s="23"/>
      <c r="M291" s="88"/>
      <c r="N291" s="66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>
      <c r="A292" s="21"/>
      <c r="B292" s="21"/>
      <c r="C292" s="21"/>
      <c r="D292" s="21"/>
      <c r="E292" s="21"/>
      <c r="F292" s="21"/>
      <c r="G292" s="21"/>
      <c r="H292" s="21"/>
      <c r="I292" s="21"/>
      <c r="J292" s="88"/>
      <c r="K292" s="22"/>
      <c r="L292" s="23"/>
      <c r="M292" s="88"/>
      <c r="N292" s="66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>
      <c r="A293" s="21"/>
      <c r="B293" s="21"/>
      <c r="C293" s="21"/>
      <c r="D293" s="21"/>
      <c r="E293" s="21"/>
      <c r="F293" s="21"/>
      <c r="G293" s="21"/>
      <c r="H293" s="21"/>
      <c r="I293" s="21"/>
      <c r="J293" s="88"/>
      <c r="K293" s="22"/>
      <c r="L293" s="23"/>
      <c r="M293" s="88"/>
      <c r="N293" s="66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>
      <c r="A294" s="21"/>
      <c r="B294" s="21"/>
      <c r="C294" s="21"/>
      <c r="D294" s="21"/>
      <c r="E294" s="21"/>
      <c r="F294" s="21"/>
      <c r="G294" s="21"/>
      <c r="H294" s="21"/>
      <c r="I294" s="21"/>
      <c r="J294" s="88"/>
      <c r="K294" s="22"/>
      <c r="L294" s="23"/>
      <c r="M294" s="88"/>
      <c r="N294" s="66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>
      <c r="A295" s="21"/>
      <c r="B295" s="21"/>
      <c r="C295" s="21"/>
      <c r="D295" s="21"/>
      <c r="E295" s="21"/>
      <c r="F295" s="21"/>
      <c r="G295" s="21"/>
      <c r="H295" s="21"/>
      <c r="I295" s="21"/>
      <c r="J295" s="88"/>
      <c r="K295" s="22"/>
      <c r="L295" s="23"/>
      <c r="M295" s="88"/>
      <c r="N295" s="66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>
      <c r="A296" s="21"/>
      <c r="B296" s="21"/>
      <c r="C296" s="21"/>
      <c r="D296" s="21"/>
      <c r="E296" s="21"/>
      <c r="F296" s="21"/>
      <c r="G296" s="21"/>
      <c r="H296" s="21"/>
      <c r="I296" s="21"/>
      <c r="J296" s="88"/>
      <c r="K296" s="22"/>
      <c r="L296" s="23"/>
      <c r="M296" s="88"/>
      <c r="N296" s="66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>
      <c r="A297" s="21"/>
      <c r="B297" s="21"/>
      <c r="C297" s="21"/>
      <c r="D297" s="21"/>
      <c r="E297" s="21"/>
      <c r="F297" s="21"/>
      <c r="G297" s="21"/>
      <c r="H297" s="21"/>
      <c r="I297" s="21"/>
      <c r="J297" s="88"/>
      <c r="K297" s="22"/>
      <c r="L297" s="23"/>
      <c r="M297" s="88"/>
      <c r="N297" s="66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>
      <c r="A298" s="21"/>
      <c r="B298" s="21"/>
      <c r="C298" s="21"/>
      <c r="D298" s="21"/>
      <c r="E298" s="21"/>
      <c r="F298" s="21"/>
      <c r="G298" s="21"/>
      <c r="H298" s="21"/>
      <c r="I298" s="21"/>
      <c r="J298" s="88"/>
      <c r="K298" s="22"/>
      <c r="L298" s="23"/>
      <c r="M298" s="88"/>
      <c r="N298" s="66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>
      <c r="A299" s="21"/>
      <c r="B299" s="21"/>
      <c r="C299" s="21"/>
      <c r="D299" s="21"/>
      <c r="E299" s="21"/>
      <c r="F299" s="21"/>
      <c r="G299" s="21"/>
      <c r="H299" s="21"/>
      <c r="I299" s="21"/>
      <c r="J299" s="88"/>
      <c r="K299" s="22"/>
      <c r="L299" s="23"/>
      <c r="M299" s="88"/>
      <c r="N299" s="66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>
      <c r="A300" s="21"/>
      <c r="B300" s="21"/>
      <c r="C300" s="21"/>
      <c r="D300" s="21"/>
      <c r="E300" s="21"/>
      <c r="F300" s="21"/>
      <c r="G300" s="21"/>
      <c r="H300" s="21"/>
      <c r="I300" s="21"/>
      <c r="J300" s="88"/>
      <c r="K300" s="22"/>
      <c r="L300" s="23"/>
      <c r="M300" s="88"/>
      <c r="N300" s="66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>
      <c r="A301" s="21"/>
      <c r="B301" s="21"/>
      <c r="C301" s="21"/>
      <c r="D301" s="21"/>
      <c r="E301" s="21"/>
      <c r="F301" s="21"/>
      <c r="G301" s="21"/>
      <c r="H301" s="21"/>
      <c r="I301" s="21"/>
      <c r="J301" s="88"/>
      <c r="K301" s="22"/>
      <c r="L301" s="23"/>
      <c r="M301" s="88"/>
      <c r="N301" s="66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>
      <c r="A302" s="21"/>
      <c r="B302" s="21"/>
      <c r="C302" s="21"/>
      <c r="D302" s="21"/>
      <c r="E302" s="21"/>
      <c r="F302" s="21"/>
      <c r="G302" s="21"/>
      <c r="H302" s="21"/>
      <c r="I302" s="21"/>
      <c r="J302" s="88"/>
      <c r="K302" s="22"/>
      <c r="L302" s="23"/>
      <c r="M302" s="88"/>
      <c r="N302" s="66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>
      <c r="A303" s="21"/>
      <c r="B303" s="21"/>
      <c r="C303" s="21"/>
      <c r="D303" s="21"/>
      <c r="E303" s="21"/>
      <c r="F303" s="21"/>
      <c r="G303" s="21"/>
      <c r="H303" s="21"/>
      <c r="I303" s="21"/>
      <c r="J303" s="88"/>
      <c r="K303" s="22"/>
      <c r="L303" s="23"/>
      <c r="M303" s="88"/>
      <c r="N303" s="66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>
      <c r="A304" s="21"/>
      <c r="B304" s="21"/>
      <c r="C304" s="21"/>
      <c r="D304" s="21"/>
      <c r="E304" s="21"/>
      <c r="F304" s="21"/>
      <c r="G304" s="21"/>
      <c r="H304" s="21"/>
      <c r="I304" s="21"/>
      <c r="J304" s="88"/>
      <c r="K304" s="22"/>
      <c r="L304" s="23"/>
      <c r="M304" s="88"/>
      <c r="N304" s="66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>
      <c r="A305" s="21"/>
      <c r="B305" s="21"/>
      <c r="C305" s="21"/>
      <c r="D305" s="21"/>
      <c r="E305" s="21"/>
      <c r="F305" s="21"/>
      <c r="G305" s="21"/>
      <c r="H305" s="21"/>
      <c r="I305" s="21"/>
      <c r="J305" s="88"/>
      <c r="K305" s="22"/>
      <c r="L305" s="23"/>
      <c r="M305" s="88"/>
      <c r="N305" s="66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>
      <c r="A306" s="21"/>
      <c r="B306" s="21"/>
      <c r="C306" s="21"/>
      <c r="D306" s="21"/>
      <c r="E306" s="21"/>
      <c r="F306" s="21"/>
      <c r="G306" s="21"/>
      <c r="H306" s="21"/>
      <c r="I306" s="21"/>
      <c r="J306" s="88"/>
      <c r="K306" s="22"/>
      <c r="L306" s="23"/>
      <c r="M306" s="88"/>
      <c r="N306" s="66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>
      <c r="A307" s="21"/>
      <c r="B307" s="21"/>
      <c r="C307" s="21"/>
      <c r="D307" s="21"/>
      <c r="E307" s="21"/>
      <c r="F307" s="21"/>
      <c r="G307" s="21"/>
      <c r="H307" s="21"/>
      <c r="I307" s="21"/>
      <c r="J307" s="88"/>
      <c r="K307" s="22"/>
      <c r="L307" s="23"/>
      <c r="M307" s="88"/>
      <c r="N307" s="66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>
      <c r="A308" s="21"/>
      <c r="B308" s="21"/>
      <c r="C308" s="21"/>
      <c r="D308" s="21"/>
      <c r="E308" s="21"/>
      <c r="F308" s="21"/>
      <c r="G308" s="21"/>
      <c r="H308" s="21"/>
      <c r="I308" s="21"/>
      <c r="J308" s="88"/>
      <c r="K308" s="22"/>
      <c r="L308" s="23"/>
      <c r="M308" s="88"/>
      <c r="N308" s="66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>
      <c r="A309" s="21"/>
      <c r="B309" s="21"/>
      <c r="C309" s="21"/>
      <c r="D309" s="21"/>
      <c r="E309" s="21"/>
      <c r="F309" s="21"/>
      <c r="G309" s="21"/>
      <c r="H309" s="21"/>
      <c r="I309" s="21"/>
      <c r="J309" s="88"/>
      <c r="K309" s="22"/>
      <c r="L309" s="23"/>
      <c r="M309" s="88"/>
      <c r="N309" s="66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>
      <c r="A310" s="21"/>
      <c r="B310" s="21"/>
      <c r="C310" s="21"/>
      <c r="D310" s="21"/>
      <c r="E310" s="21"/>
      <c r="F310" s="21"/>
      <c r="G310" s="21"/>
      <c r="H310" s="21"/>
      <c r="I310" s="21"/>
      <c r="J310" s="88"/>
      <c r="K310" s="22"/>
      <c r="L310" s="23"/>
      <c r="M310" s="88"/>
      <c r="N310" s="66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>
      <c r="A311" s="21"/>
      <c r="B311" s="21"/>
      <c r="C311" s="21"/>
      <c r="D311" s="21"/>
      <c r="E311" s="21"/>
      <c r="F311" s="21"/>
      <c r="G311" s="21"/>
      <c r="H311" s="21"/>
      <c r="I311" s="21"/>
      <c r="J311" s="88"/>
      <c r="K311" s="22"/>
      <c r="L311" s="23"/>
      <c r="M311" s="88"/>
      <c r="N311" s="66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>
      <c r="A312" s="21"/>
      <c r="B312" s="21"/>
      <c r="C312" s="21"/>
      <c r="D312" s="21"/>
      <c r="E312" s="21"/>
      <c r="F312" s="21"/>
      <c r="G312" s="21"/>
      <c r="H312" s="21"/>
      <c r="I312" s="21"/>
      <c r="J312" s="88"/>
      <c r="K312" s="22"/>
      <c r="L312" s="23"/>
      <c r="M312" s="88"/>
      <c r="N312" s="66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>
      <c r="A313" s="21"/>
      <c r="B313" s="21"/>
      <c r="C313" s="21"/>
      <c r="D313" s="21"/>
      <c r="E313" s="21"/>
      <c r="F313" s="21"/>
      <c r="G313" s="21"/>
      <c r="H313" s="21"/>
      <c r="I313" s="21"/>
      <c r="J313" s="88"/>
      <c r="K313" s="22"/>
      <c r="L313" s="23"/>
      <c r="M313" s="88"/>
      <c r="N313" s="66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>
      <c r="A314" s="21"/>
      <c r="B314" s="21"/>
      <c r="C314" s="21"/>
      <c r="D314" s="21"/>
      <c r="E314" s="21"/>
      <c r="F314" s="21"/>
      <c r="G314" s="21"/>
      <c r="H314" s="21"/>
      <c r="I314" s="21"/>
      <c r="J314" s="88"/>
      <c r="K314" s="22"/>
      <c r="L314" s="23"/>
      <c r="M314" s="88"/>
      <c r="N314" s="66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>
      <c r="A315" s="21"/>
      <c r="B315" s="21"/>
      <c r="C315" s="21"/>
      <c r="D315" s="21"/>
      <c r="E315" s="21"/>
      <c r="F315" s="21"/>
      <c r="G315" s="21"/>
      <c r="H315" s="21"/>
      <c r="I315" s="21"/>
      <c r="J315" s="88"/>
      <c r="K315" s="22"/>
      <c r="L315" s="23"/>
      <c r="M315" s="88"/>
      <c r="N315" s="66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>
      <c r="A316" s="21"/>
      <c r="B316" s="21"/>
      <c r="C316" s="21"/>
      <c r="D316" s="21"/>
      <c r="E316" s="21"/>
      <c r="F316" s="21"/>
      <c r="G316" s="21"/>
      <c r="H316" s="21"/>
      <c r="I316" s="21"/>
      <c r="J316" s="88"/>
      <c r="K316" s="22"/>
      <c r="L316" s="23"/>
      <c r="M316" s="88"/>
      <c r="N316" s="66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>
      <c r="A317" s="21"/>
      <c r="B317" s="21"/>
      <c r="C317" s="21"/>
      <c r="D317" s="21"/>
      <c r="E317" s="21"/>
      <c r="F317" s="21"/>
      <c r="G317" s="21"/>
      <c r="H317" s="21"/>
      <c r="I317" s="21"/>
      <c r="J317" s="88"/>
      <c r="K317" s="22"/>
      <c r="L317" s="23"/>
      <c r="M317" s="88"/>
      <c r="N317" s="66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>
      <c r="A318" s="21"/>
      <c r="B318" s="21"/>
      <c r="C318" s="21"/>
      <c r="D318" s="21"/>
      <c r="E318" s="21"/>
      <c r="F318" s="21"/>
      <c r="G318" s="21"/>
      <c r="H318" s="21"/>
      <c r="I318" s="21"/>
      <c r="J318" s="88"/>
      <c r="K318" s="22"/>
      <c r="L318" s="23"/>
      <c r="M318" s="88"/>
      <c r="N318" s="66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>
      <c r="A319" s="21"/>
      <c r="B319" s="21"/>
      <c r="C319" s="21"/>
      <c r="D319" s="21"/>
      <c r="E319" s="21"/>
      <c r="F319" s="21"/>
      <c r="G319" s="21"/>
      <c r="H319" s="21"/>
      <c r="I319" s="21"/>
      <c r="J319" s="88"/>
      <c r="K319" s="22"/>
      <c r="L319" s="23"/>
      <c r="M319" s="88"/>
      <c r="N319" s="66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>
      <c r="A320" s="21"/>
      <c r="B320" s="21"/>
      <c r="C320" s="21"/>
      <c r="D320" s="21"/>
      <c r="E320" s="21"/>
      <c r="F320" s="21"/>
      <c r="G320" s="21"/>
      <c r="H320" s="21"/>
      <c r="I320" s="21"/>
      <c r="J320" s="88"/>
      <c r="K320" s="22"/>
      <c r="L320" s="23"/>
      <c r="M320" s="88"/>
      <c r="N320" s="66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>
      <c r="A321" s="21"/>
      <c r="B321" s="21"/>
      <c r="C321" s="21"/>
      <c r="D321" s="21"/>
      <c r="E321" s="21"/>
      <c r="F321" s="21"/>
      <c r="G321" s="21"/>
      <c r="H321" s="21"/>
      <c r="I321" s="21"/>
      <c r="J321" s="88"/>
      <c r="K321" s="22"/>
      <c r="L321" s="23"/>
      <c r="M321" s="88"/>
      <c r="N321" s="66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>
      <c r="A322" s="21"/>
      <c r="B322" s="21"/>
      <c r="C322" s="21"/>
      <c r="D322" s="21"/>
      <c r="E322" s="21"/>
      <c r="F322" s="21"/>
      <c r="G322" s="21"/>
      <c r="H322" s="21"/>
      <c r="I322" s="21"/>
      <c r="J322" s="88"/>
      <c r="K322" s="22"/>
      <c r="L322" s="23"/>
      <c r="M322" s="88"/>
      <c r="N322" s="66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>
      <c r="A323" s="21"/>
      <c r="B323" s="21"/>
      <c r="C323" s="21"/>
      <c r="D323" s="21"/>
      <c r="E323" s="21"/>
      <c r="F323" s="21"/>
      <c r="G323" s="21"/>
      <c r="H323" s="21"/>
      <c r="I323" s="21"/>
      <c r="J323" s="88"/>
      <c r="K323" s="22"/>
      <c r="L323" s="23"/>
      <c r="M323" s="88"/>
      <c r="N323" s="66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>
      <c r="A324" s="21"/>
      <c r="B324" s="21"/>
      <c r="C324" s="21"/>
      <c r="D324" s="21"/>
      <c r="E324" s="21"/>
      <c r="F324" s="21"/>
      <c r="G324" s="21"/>
      <c r="H324" s="21"/>
      <c r="I324" s="21"/>
      <c r="J324" s="88"/>
      <c r="K324" s="22"/>
      <c r="L324" s="23"/>
      <c r="M324" s="88"/>
      <c r="N324" s="66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>
      <c r="A325" s="21"/>
      <c r="B325" s="21"/>
      <c r="C325" s="21"/>
      <c r="D325" s="21"/>
      <c r="E325" s="21"/>
      <c r="F325" s="21"/>
      <c r="G325" s="21"/>
      <c r="H325" s="21"/>
      <c r="I325" s="21"/>
      <c r="J325" s="88"/>
      <c r="K325" s="22"/>
      <c r="L325" s="23"/>
      <c r="M325" s="88"/>
      <c r="N325" s="66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>
      <c r="A326" s="21"/>
      <c r="B326" s="21"/>
      <c r="C326" s="21"/>
      <c r="D326" s="21"/>
      <c r="E326" s="21"/>
      <c r="F326" s="21"/>
      <c r="G326" s="21"/>
      <c r="H326" s="21"/>
      <c r="I326" s="21"/>
      <c r="J326" s="88"/>
      <c r="K326" s="22"/>
      <c r="L326" s="23"/>
      <c r="M326" s="88"/>
      <c r="N326" s="66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>
      <c r="A327" s="21"/>
      <c r="B327" s="21"/>
      <c r="C327" s="21"/>
      <c r="D327" s="21"/>
      <c r="E327" s="21"/>
      <c r="F327" s="21"/>
      <c r="G327" s="21"/>
      <c r="H327" s="21"/>
      <c r="I327" s="21"/>
      <c r="J327" s="88"/>
      <c r="K327" s="22"/>
      <c r="L327" s="23"/>
      <c r="M327" s="88"/>
      <c r="N327" s="66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>
      <c r="A328" s="21"/>
      <c r="B328" s="21"/>
      <c r="C328" s="21"/>
      <c r="D328" s="21"/>
      <c r="E328" s="21"/>
      <c r="F328" s="21"/>
      <c r="G328" s="21"/>
      <c r="H328" s="21"/>
      <c r="I328" s="21"/>
      <c r="J328" s="88"/>
      <c r="K328" s="22"/>
      <c r="L328" s="23"/>
      <c r="M328" s="88"/>
      <c r="N328" s="66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>
      <c r="A329" s="21"/>
      <c r="B329" s="21"/>
      <c r="C329" s="21"/>
      <c r="D329" s="21"/>
      <c r="E329" s="21"/>
      <c r="F329" s="21"/>
      <c r="G329" s="21"/>
      <c r="H329" s="21"/>
      <c r="I329" s="21"/>
      <c r="J329" s="88"/>
      <c r="K329" s="22"/>
      <c r="L329" s="23"/>
      <c r="M329" s="88"/>
      <c r="N329" s="66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>
      <c r="A330" s="21"/>
      <c r="B330" s="21"/>
      <c r="C330" s="21"/>
      <c r="D330" s="21"/>
      <c r="E330" s="21"/>
      <c r="F330" s="21"/>
      <c r="G330" s="21"/>
      <c r="H330" s="21"/>
      <c r="I330" s="21"/>
      <c r="J330" s="88"/>
      <c r="K330" s="22"/>
      <c r="L330" s="23"/>
      <c r="M330" s="88"/>
      <c r="N330" s="66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>
      <c r="A331" s="21"/>
      <c r="B331" s="21"/>
      <c r="C331" s="21"/>
      <c r="D331" s="21"/>
      <c r="E331" s="21"/>
      <c r="F331" s="21"/>
      <c r="G331" s="21"/>
      <c r="H331" s="21"/>
      <c r="I331" s="21"/>
      <c r="J331" s="88"/>
      <c r="K331" s="22"/>
      <c r="L331" s="23"/>
      <c r="M331" s="88"/>
      <c r="N331" s="66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>
      <c r="A332" s="21"/>
      <c r="B332" s="21"/>
      <c r="C332" s="21"/>
      <c r="D332" s="21"/>
      <c r="E332" s="21"/>
      <c r="F332" s="21"/>
      <c r="G332" s="21"/>
      <c r="H332" s="21"/>
      <c r="I332" s="21"/>
      <c r="J332" s="88"/>
      <c r="K332" s="22"/>
      <c r="L332" s="23"/>
      <c r="M332" s="88"/>
      <c r="N332" s="66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>
      <c r="A333" s="21"/>
      <c r="B333" s="21"/>
      <c r="C333" s="21"/>
      <c r="D333" s="21"/>
      <c r="E333" s="21"/>
      <c r="F333" s="21"/>
      <c r="G333" s="21"/>
      <c r="H333" s="21"/>
      <c r="I333" s="21"/>
      <c r="J333" s="88"/>
      <c r="K333" s="22"/>
      <c r="L333" s="23"/>
      <c r="M333" s="88"/>
      <c r="N333" s="66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>
      <c r="A334" s="21"/>
      <c r="B334" s="21"/>
      <c r="C334" s="21"/>
      <c r="D334" s="21"/>
      <c r="E334" s="21"/>
      <c r="F334" s="21"/>
      <c r="G334" s="21"/>
      <c r="H334" s="21"/>
      <c r="I334" s="21"/>
      <c r="J334" s="88"/>
      <c r="K334" s="22"/>
      <c r="L334" s="23"/>
      <c r="M334" s="88"/>
      <c r="N334" s="66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>
      <c r="A335" s="21"/>
      <c r="B335" s="21"/>
      <c r="C335" s="21"/>
      <c r="D335" s="21"/>
      <c r="E335" s="21"/>
      <c r="F335" s="21"/>
      <c r="G335" s="21"/>
      <c r="H335" s="21"/>
      <c r="I335" s="21"/>
      <c r="J335" s="88"/>
      <c r="K335" s="22"/>
      <c r="L335" s="23"/>
      <c r="M335" s="88"/>
      <c r="N335" s="66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>
      <c r="A336" s="21"/>
      <c r="B336" s="21"/>
      <c r="C336" s="21"/>
      <c r="D336" s="21"/>
      <c r="E336" s="21"/>
      <c r="F336" s="21"/>
      <c r="G336" s="21"/>
      <c r="H336" s="21"/>
      <c r="I336" s="21"/>
      <c r="J336" s="88"/>
      <c r="K336" s="22"/>
      <c r="L336" s="23"/>
      <c r="M336" s="88"/>
      <c r="N336" s="66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>
      <c r="A337" s="21"/>
      <c r="B337" s="21"/>
      <c r="C337" s="21"/>
      <c r="D337" s="21"/>
      <c r="E337" s="21"/>
      <c r="F337" s="21"/>
      <c r="G337" s="21"/>
      <c r="H337" s="21"/>
      <c r="I337" s="21"/>
      <c r="J337" s="88"/>
      <c r="K337" s="22"/>
      <c r="L337" s="23"/>
      <c r="M337" s="88"/>
      <c r="N337" s="66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>
      <c r="A338" s="21"/>
      <c r="B338" s="21"/>
      <c r="C338" s="21"/>
      <c r="D338" s="21"/>
      <c r="E338" s="21"/>
      <c r="F338" s="21"/>
      <c r="G338" s="21"/>
      <c r="H338" s="21"/>
      <c r="I338" s="21"/>
      <c r="J338" s="88"/>
      <c r="K338" s="22"/>
      <c r="L338" s="23"/>
      <c r="M338" s="88"/>
      <c r="N338" s="66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>
      <c r="A339" s="21"/>
      <c r="B339" s="21"/>
      <c r="C339" s="21"/>
      <c r="D339" s="21"/>
      <c r="E339" s="21"/>
      <c r="F339" s="21"/>
      <c r="G339" s="21"/>
      <c r="H339" s="21"/>
      <c r="I339" s="21"/>
      <c r="J339" s="88"/>
      <c r="K339" s="22"/>
      <c r="L339" s="23"/>
      <c r="M339" s="88"/>
      <c r="N339" s="66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>
      <c r="A340" s="21"/>
      <c r="B340" s="21"/>
      <c r="C340" s="21"/>
      <c r="D340" s="21"/>
      <c r="E340" s="21"/>
      <c r="F340" s="21"/>
      <c r="G340" s="21"/>
      <c r="H340" s="21"/>
      <c r="I340" s="21"/>
      <c r="J340" s="88"/>
      <c r="K340" s="22"/>
      <c r="L340" s="23"/>
      <c r="M340" s="88"/>
      <c r="N340" s="66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>
      <c r="A341" s="21"/>
      <c r="B341" s="21"/>
      <c r="C341" s="21"/>
      <c r="D341" s="21"/>
      <c r="E341" s="21"/>
      <c r="F341" s="21"/>
      <c r="G341" s="21"/>
      <c r="H341" s="21"/>
      <c r="I341" s="21"/>
      <c r="J341" s="88"/>
      <c r="K341" s="22"/>
      <c r="L341" s="23"/>
      <c r="M341" s="88"/>
      <c r="N341" s="66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>
      <c r="A342" s="21"/>
      <c r="B342" s="21"/>
      <c r="C342" s="21"/>
      <c r="D342" s="21"/>
      <c r="E342" s="21"/>
      <c r="F342" s="21"/>
      <c r="G342" s="21"/>
      <c r="H342" s="21"/>
      <c r="I342" s="21"/>
      <c r="J342" s="88"/>
      <c r="K342" s="22"/>
      <c r="L342" s="23"/>
      <c r="M342" s="88"/>
      <c r="N342" s="66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</sheetData>
  <autoFilter ref="J1:N241"/>
  <phoneticPr fontId="3" type="noConversion"/>
  <pageMargins left="0.75" right="0.75" top="1" bottom="1" header="0.5" footer="0.5"/>
  <pageSetup paperSize="9" scale="77" orientation="portrait" horizontalDpi="4294967294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5"/>
  <dimension ref="A1:AC513"/>
  <sheetViews>
    <sheetView showGridLines="0" view="pageBreakPreview" zoomScaleNormal="100" workbookViewId="0">
      <selection activeCell="J2" sqref="J2"/>
    </sheetView>
  </sheetViews>
  <sheetFormatPr defaultRowHeight="12.75"/>
  <cols>
    <col min="2" max="6" width="9.140625" hidden="1" customWidth="1"/>
    <col min="8" max="8" width="9.140625" hidden="1" customWidth="1"/>
    <col min="10" max="10" width="33.42578125" style="87" customWidth="1"/>
    <col min="11" max="11" width="9.28515625" style="71" bestFit="1" customWidth="1"/>
    <col min="12" max="12" width="4" style="3" hidden="1" customWidth="1"/>
    <col min="13" max="13" width="31.5703125" style="87" customWidth="1"/>
    <col min="14" max="14" width="11.42578125" style="44" bestFit="1" customWidth="1"/>
  </cols>
  <sheetData>
    <row r="1" spans="2:29" ht="19.5" thickTop="1" thickBot="1">
      <c r="J1" s="58" t="s">
        <v>12</v>
      </c>
      <c r="K1" s="67" t="s">
        <v>13</v>
      </c>
      <c r="L1" s="58"/>
      <c r="M1" s="89" t="s">
        <v>14</v>
      </c>
      <c r="N1" s="58" t="s">
        <v>15</v>
      </c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2:29" ht="17.25" thickTop="1" thickBot="1">
      <c r="B2" t="str">
        <f>wyniki!B8</f>
        <v>Dąbrowski Mateusz</v>
      </c>
      <c r="C2" s="56">
        <f>wyniki!G8</f>
        <v>0</v>
      </c>
      <c r="D2" s="18">
        <v>1.0000000000000001E-5</v>
      </c>
      <c r="E2" s="56">
        <f>C2+D2</f>
        <v>1.0000000000000001E-5</v>
      </c>
      <c r="F2" t="str">
        <f>wyniki!$A$7</f>
        <v>SP8 Siedlce</v>
      </c>
      <c r="J2" s="79">
        <f>INDEX($B$2:$E$241,L2,1)</f>
        <v>0</v>
      </c>
      <c r="K2" s="69">
        <f>LARGE($E$2:$E$241,1)</f>
        <v>1.11E-2</v>
      </c>
      <c r="L2" s="68">
        <f>MATCH(K2,$E$2:$E$241,0)</f>
        <v>110</v>
      </c>
      <c r="M2" s="90">
        <f>INDEX($E$2:$F$241,L2,2)</f>
        <v>0</v>
      </c>
      <c r="N2" s="37">
        <v>1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2:29" ht="17.25" thickTop="1" thickBot="1">
      <c r="B3" t="str">
        <f>wyniki!B9</f>
        <v>Iliński Aleksander</v>
      </c>
      <c r="C3" s="56">
        <f>wyniki!G9</f>
        <v>0</v>
      </c>
      <c r="D3" s="18">
        <v>2.0000000000000002E-5</v>
      </c>
      <c r="E3" s="56">
        <f t="shared" ref="E3:E66" si="0">C3+D3</f>
        <v>2.0000000000000002E-5</v>
      </c>
      <c r="F3" t="str">
        <f>wyniki!$A$7</f>
        <v>SP8 Siedlce</v>
      </c>
      <c r="J3" s="79">
        <f t="shared" ref="J3:J66" si="1">INDEX($B$2:$E$241,L3,1)</f>
        <v>0</v>
      </c>
      <c r="K3" s="69">
        <f>LARGE($E$2:$E$241,2)</f>
        <v>2.3999999999999998E-3</v>
      </c>
      <c r="L3" s="68">
        <f t="shared" ref="L3:L66" si="2">MATCH(K3,$E$2:$E$241,0)</f>
        <v>240</v>
      </c>
      <c r="M3" s="90">
        <f t="shared" ref="M3:M66" si="3">INDEX($E$2:$F$241,L3,2)</f>
        <v>0</v>
      </c>
      <c r="N3" s="37">
        <v>2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2:29" ht="17.25" thickTop="1" thickBot="1">
      <c r="B4" t="str">
        <f>wyniki!B10</f>
        <v>Ługowski Bartosz</v>
      </c>
      <c r="C4" s="56">
        <f>wyniki!G10</f>
        <v>0</v>
      </c>
      <c r="D4" s="18">
        <v>3.0000000000000001E-5</v>
      </c>
      <c r="E4" s="56">
        <f t="shared" si="0"/>
        <v>3.0000000000000001E-5</v>
      </c>
      <c r="F4" t="str">
        <f>wyniki!$A$7</f>
        <v>SP8 Siedlce</v>
      </c>
      <c r="J4" s="79">
        <f t="shared" si="1"/>
        <v>0</v>
      </c>
      <c r="K4" s="69">
        <f>LARGE($E$2:$E$241,3)</f>
        <v>2.3900000000000002E-3</v>
      </c>
      <c r="L4" s="68">
        <f t="shared" si="2"/>
        <v>239</v>
      </c>
      <c r="M4" s="90">
        <f t="shared" si="3"/>
        <v>0</v>
      </c>
      <c r="N4" s="37">
        <v>3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2:29" ht="17.25" thickTop="1" thickBot="1">
      <c r="B5" t="str">
        <f>wyniki!B11</f>
        <v>Redes Maciej</v>
      </c>
      <c r="C5" s="56">
        <f>wyniki!G11</f>
        <v>0</v>
      </c>
      <c r="D5" s="18">
        <v>4.0000000000000003E-5</v>
      </c>
      <c r="E5" s="56">
        <f t="shared" si="0"/>
        <v>4.0000000000000003E-5</v>
      </c>
      <c r="F5" t="str">
        <f>wyniki!$A$7</f>
        <v>SP8 Siedlce</v>
      </c>
      <c r="J5" s="79">
        <f t="shared" si="1"/>
        <v>0</v>
      </c>
      <c r="K5" s="69">
        <f>LARGE($E$2:$E$241,4)</f>
        <v>2.3800000000000002E-3</v>
      </c>
      <c r="L5" s="68">
        <f t="shared" si="2"/>
        <v>238</v>
      </c>
      <c r="M5" s="90">
        <f t="shared" si="3"/>
        <v>0</v>
      </c>
      <c r="N5" s="37">
        <v>3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2:29" ht="17.25" thickTop="1" thickBot="1">
      <c r="B6" t="str">
        <f>wyniki!B12</f>
        <v>Świder Tymoteusz</v>
      </c>
      <c r="C6" s="56">
        <f>wyniki!G12</f>
        <v>0</v>
      </c>
      <c r="D6" s="18">
        <v>5.0000000000000002E-5</v>
      </c>
      <c r="E6" s="56">
        <f t="shared" si="0"/>
        <v>5.0000000000000002E-5</v>
      </c>
      <c r="F6" t="str">
        <f>wyniki!$A$7</f>
        <v>SP8 Siedlce</v>
      </c>
      <c r="J6" s="79">
        <f t="shared" si="1"/>
        <v>0</v>
      </c>
      <c r="K6" s="69">
        <f>LARGE($E$2:$E$241,5)</f>
        <v>2.3700000000000001E-3</v>
      </c>
      <c r="L6" s="68">
        <f t="shared" si="2"/>
        <v>237</v>
      </c>
      <c r="M6" s="90">
        <f t="shared" si="3"/>
        <v>0</v>
      </c>
      <c r="N6" s="37">
        <v>3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2:29" ht="17.25" thickTop="1" thickBot="1">
      <c r="B7" t="str">
        <f>wyniki!B13</f>
        <v>Nitychoruk Maciej</v>
      </c>
      <c r="C7" s="56">
        <f>wyniki!G13</f>
        <v>0</v>
      </c>
      <c r="D7" s="18">
        <v>6.0000000000000002E-5</v>
      </c>
      <c r="E7" s="56">
        <f t="shared" si="0"/>
        <v>6.0000000000000002E-5</v>
      </c>
      <c r="F7" t="str">
        <f>wyniki!$A$7</f>
        <v>SP8 Siedlce</v>
      </c>
      <c r="J7" s="79">
        <f t="shared" si="1"/>
        <v>0</v>
      </c>
      <c r="K7" s="69">
        <f>LARGE($E$2:$E$241,6)</f>
        <v>2.3600000000000001E-3</v>
      </c>
      <c r="L7" s="68">
        <f t="shared" si="2"/>
        <v>236</v>
      </c>
      <c r="M7" s="90">
        <f t="shared" si="3"/>
        <v>0</v>
      </c>
      <c r="N7" s="37">
        <v>6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2:29" ht="17.25" thickTop="1" thickBot="1">
      <c r="B8" t="str">
        <f>wyniki!B15</f>
        <v>Kołacz Nikodem</v>
      </c>
      <c r="C8" s="56">
        <f>wyniki!G15</f>
        <v>0</v>
      </c>
      <c r="D8" s="18">
        <v>6.9999999999999994E-5</v>
      </c>
      <c r="E8" s="56">
        <f t="shared" si="0"/>
        <v>6.9999999999999994E-5</v>
      </c>
      <c r="F8" t="str">
        <f>wyniki!$A$14</f>
        <v>PSP24 Radom</v>
      </c>
      <c r="J8" s="79">
        <f t="shared" si="1"/>
        <v>0</v>
      </c>
      <c r="K8" s="69">
        <f>LARGE($E$2:$E$241,7)</f>
        <v>2.3500000000000001E-3</v>
      </c>
      <c r="L8" s="68">
        <f t="shared" si="2"/>
        <v>235</v>
      </c>
      <c r="M8" s="90">
        <f t="shared" si="3"/>
        <v>0</v>
      </c>
      <c r="N8" s="37">
        <v>7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2:29" ht="17.25" thickTop="1" thickBot="1">
      <c r="B9" t="str">
        <f>wyniki!B16</f>
        <v>Komar Wojciech</v>
      </c>
      <c r="C9" s="56">
        <f>wyniki!G16</f>
        <v>0</v>
      </c>
      <c r="D9" s="18">
        <v>8.0000000000000007E-5</v>
      </c>
      <c r="E9" s="56">
        <f t="shared" si="0"/>
        <v>8.0000000000000007E-5</v>
      </c>
      <c r="F9" t="str">
        <f>wyniki!$A$14</f>
        <v>PSP24 Radom</v>
      </c>
      <c r="J9" s="79">
        <f t="shared" si="1"/>
        <v>0</v>
      </c>
      <c r="K9" s="69">
        <f>LARGE($E$2:$E$241,8)</f>
        <v>2.3400000000000001E-3</v>
      </c>
      <c r="L9" s="68">
        <f t="shared" si="2"/>
        <v>234</v>
      </c>
      <c r="M9" s="90">
        <f t="shared" si="3"/>
        <v>0</v>
      </c>
      <c r="N9" s="37">
        <v>8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2:29" ht="17.25" thickTop="1" thickBot="1">
      <c r="B10" t="str">
        <f>wyniki!B17</f>
        <v>Markwat Natan</v>
      </c>
      <c r="C10" s="56">
        <f>wyniki!G17</f>
        <v>0</v>
      </c>
      <c r="D10" s="18">
        <v>9.0000000000000006E-5</v>
      </c>
      <c r="E10" s="56">
        <f t="shared" si="0"/>
        <v>9.0000000000000006E-5</v>
      </c>
      <c r="F10" t="str">
        <f>wyniki!$A$14</f>
        <v>PSP24 Radom</v>
      </c>
      <c r="J10" s="79">
        <f t="shared" si="1"/>
        <v>0</v>
      </c>
      <c r="K10" s="69">
        <f>LARGE($E$2:$E$241,9)</f>
        <v>2.33E-3</v>
      </c>
      <c r="L10" s="68">
        <f t="shared" si="2"/>
        <v>233</v>
      </c>
      <c r="M10" s="90">
        <f t="shared" si="3"/>
        <v>0</v>
      </c>
      <c r="N10" s="37">
        <v>9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2:29" ht="17.25" thickTop="1" thickBot="1">
      <c r="B11" t="str">
        <f>wyniki!B18</f>
        <v>Nowak Aleksander</v>
      </c>
      <c r="C11" s="56">
        <f>wyniki!G18</f>
        <v>0</v>
      </c>
      <c r="D11" s="18">
        <v>1E-4</v>
      </c>
      <c r="E11" s="56">
        <f t="shared" si="0"/>
        <v>1E-4</v>
      </c>
      <c r="F11" t="str">
        <f>wyniki!$A$14</f>
        <v>PSP24 Radom</v>
      </c>
      <c r="J11" s="79">
        <f t="shared" si="1"/>
        <v>0</v>
      </c>
      <c r="K11" s="69">
        <f>LARGE($E$2:$E$241,10)</f>
        <v>2.32E-3</v>
      </c>
      <c r="L11" s="68">
        <f t="shared" si="2"/>
        <v>232</v>
      </c>
      <c r="M11" s="90">
        <f t="shared" si="3"/>
        <v>0</v>
      </c>
      <c r="N11" s="37">
        <v>10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2:29" ht="17.25" thickTop="1" thickBot="1">
      <c r="B12" t="str">
        <f>wyniki!B19</f>
        <v>Trzos Szymon</v>
      </c>
      <c r="C12" s="56">
        <f>wyniki!G19</f>
        <v>0</v>
      </c>
      <c r="D12" s="18">
        <v>1.1E-4</v>
      </c>
      <c r="E12" s="56">
        <f t="shared" si="0"/>
        <v>1.1E-4</v>
      </c>
      <c r="F12" t="str">
        <f>wyniki!$A$14</f>
        <v>PSP24 Radom</v>
      </c>
      <c r="J12" s="79">
        <f t="shared" si="1"/>
        <v>0</v>
      </c>
      <c r="K12" s="69">
        <f>LARGE($E$2:$E$241,11)</f>
        <v>2.31E-3</v>
      </c>
      <c r="L12" s="68">
        <f t="shared" si="2"/>
        <v>231</v>
      </c>
      <c r="M12" s="90">
        <f t="shared" si="3"/>
        <v>0</v>
      </c>
      <c r="N12" s="37">
        <v>11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2:29" ht="17.25" thickTop="1" thickBot="1">
      <c r="B13">
        <f>wyniki!B20</f>
        <v>0</v>
      </c>
      <c r="C13" s="56">
        <f>wyniki!G20</f>
        <v>0</v>
      </c>
      <c r="D13" s="18">
        <v>1.2E-4</v>
      </c>
      <c r="E13" s="56">
        <f t="shared" si="0"/>
        <v>1.2E-4</v>
      </c>
      <c r="F13" t="str">
        <f>wyniki!$A$14</f>
        <v>PSP24 Radom</v>
      </c>
      <c r="J13" s="79">
        <f t="shared" si="1"/>
        <v>0</v>
      </c>
      <c r="K13" s="69">
        <f>LARGE($E$2:$E$241,12)</f>
        <v>2.3E-3</v>
      </c>
      <c r="L13" s="68">
        <f t="shared" si="2"/>
        <v>230</v>
      </c>
      <c r="M13" s="90">
        <f t="shared" si="3"/>
        <v>0</v>
      </c>
      <c r="N13" s="37">
        <v>12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2:29" ht="17.25" thickTop="1" thickBot="1">
      <c r="B14" t="str">
        <f>wyniki!B22</f>
        <v>Dąbrowski Aleksander</v>
      </c>
      <c r="C14" s="56">
        <f>wyniki!G22</f>
        <v>0</v>
      </c>
      <c r="D14" s="18">
        <v>1.2999999999999999E-4</v>
      </c>
      <c r="E14" s="56">
        <f t="shared" si="0"/>
        <v>1.2999999999999999E-4</v>
      </c>
      <c r="F14" t="str">
        <f>wyniki!$A$21</f>
        <v>SP4 Pruszków</v>
      </c>
      <c r="J14" s="79">
        <f t="shared" si="1"/>
        <v>0</v>
      </c>
      <c r="K14" s="69">
        <f>LARGE($E$2:$E$241,13)</f>
        <v>2.2899999999999999E-3</v>
      </c>
      <c r="L14" s="68">
        <f t="shared" si="2"/>
        <v>229</v>
      </c>
      <c r="M14" s="90">
        <f t="shared" si="3"/>
        <v>0</v>
      </c>
      <c r="N14" s="37">
        <v>13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2:29" ht="17.25" thickTop="1" thickBot="1">
      <c r="B15" t="str">
        <f>wyniki!B23</f>
        <v>Kushchak Kamil</v>
      </c>
      <c r="C15" s="56">
        <f>wyniki!G23</f>
        <v>0</v>
      </c>
      <c r="D15" s="18">
        <v>1.3999999999999999E-4</v>
      </c>
      <c r="E15" s="56">
        <f t="shared" si="0"/>
        <v>1.3999999999999999E-4</v>
      </c>
      <c r="F15" t="str">
        <f>wyniki!$A$21</f>
        <v>SP4 Pruszków</v>
      </c>
      <c r="J15" s="79">
        <f t="shared" si="1"/>
        <v>0</v>
      </c>
      <c r="K15" s="69">
        <f>LARGE($E$2:$E$241,14)</f>
        <v>2.2799999999999999E-3</v>
      </c>
      <c r="L15" s="68">
        <f t="shared" si="2"/>
        <v>228</v>
      </c>
      <c r="M15" s="90">
        <f t="shared" si="3"/>
        <v>0</v>
      </c>
      <c r="N15" s="37">
        <v>14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2:29" ht="17.25" thickTop="1" thickBot="1">
      <c r="B16" t="str">
        <f>wyniki!B24</f>
        <v>Kwiatkowski Julian</v>
      </c>
      <c r="C16" s="56">
        <f>wyniki!G24</f>
        <v>0</v>
      </c>
      <c r="D16" s="18">
        <v>1.4999999999999999E-4</v>
      </c>
      <c r="E16" s="56">
        <f t="shared" si="0"/>
        <v>1.4999999999999999E-4</v>
      </c>
      <c r="F16" t="str">
        <f>wyniki!$A$21</f>
        <v>SP4 Pruszków</v>
      </c>
      <c r="J16" s="79">
        <f t="shared" si="1"/>
        <v>0</v>
      </c>
      <c r="K16" s="69">
        <f>LARGE($E$2:$E$241,15)</f>
        <v>2.2699999999999999E-3</v>
      </c>
      <c r="L16" s="68">
        <f t="shared" si="2"/>
        <v>227</v>
      </c>
      <c r="M16" s="90">
        <f t="shared" si="3"/>
        <v>0</v>
      </c>
      <c r="N16" s="37">
        <v>15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2:29" ht="17.25" thickTop="1" thickBot="1">
      <c r="B17" t="str">
        <f>wyniki!B25</f>
        <v>Lipiński Cyprian</v>
      </c>
      <c r="C17" s="56">
        <f>wyniki!G25</f>
        <v>0</v>
      </c>
      <c r="D17" s="18">
        <v>1.6000000000000001E-4</v>
      </c>
      <c r="E17" s="56">
        <f t="shared" si="0"/>
        <v>1.6000000000000001E-4</v>
      </c>
      <c r="F17" t="str">
        <f>wyniki!$A$21</f>
        <v>SP4 Pruszków</v>
      </c>
      <c r="J17" s="79">
        <f t="shared" si="1"/>
        <v>0</v>
      </c>
      <c r="K17" s="69">
        <f>LARGE($E$2:$E$241,16)</f>
        <v>2.2599999999999999E-3</v>
      </c>
      <c r="L17" s="68">
        <f t="shared" si="2"/>
        <v>226</v>
      </c>
      <c r="M17" s="90">
        <f t="shared" si="3"/>
        <v>0</v>
      </c>
      <c r="N17" s="37">
        <v>16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2:29" ht="17.25" thickTop="1" thickBot="1">
      <c r="B18" t="str">
        <f>wyniki!B26</f>
        <v>Miron Artur</v>
      </c>
      <c r="C18" s="56">
        <f>wyniki!G26</f>
        <v>0</v>
      </c>
      <c r="D18" s="18">
        <v>1.7000000000000001E-4</v>
      </c>
      <c r="E18" s="56">
        <f t="shared" si="0"/>
        <v>1.7000000000000001E-4</v>
      </c>
      <c r="F18" t="str">
        <f>wyniki!$A$21</f>
        <v>SP4 Pruszków</v>
      </c>
      <c r="J18" s="79">
        <f t="shared" si="1"/>
        <v>0</v>
      </c>
      <c r="K18" s="69">
        <f>LARGE($E$2:$E$241,17)</f>
        <v>2.2499999999999998E-3</v>
      </c>
      <c r="L18" s="68">
        <f t="shared" si="2"/>
        <v>225</v>
      </c>
      <c r="M18" s="90">
        <f t="shared" si="3"/>
        <v>0</v>
      </c>
      <c r="N18" s="37">
        <v>17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2:29" ht="17.25" thickTop="1" thickBot="1">
      <c r="B19" t="str">
        <f>wyniki!B27</f>
        <v>Zień Paweł</v>
      </c>
      <c r="C19" s="56">
        <f>wyniki!G27</f>
        <v>0</v>
      </c>
      <c r="D19" s="18">
        <v>1.8000000000000001E-4</v>
      </c>
      <c r="E19" s="56">
        <f t="shared" si="0"/>
        <v>1.8000000000000001E-4</v>
      </c>
      <c r="F19" t="str">
        <f>wyniki!$A$21</f>
        <v>SP4 Pruszków</v>
      </c>
      <c r="J19" s="79">
        <f t="shared" si="1"/>
        <v>0</v>
      </c>
      <c r="K19" s="69">
        <f>LARGE($E$2:$E$241,18)</f>
        <v>2.2399999999999998E-3</v>
      </c>
      <c r="L19" s="68">
        <f t="shared" si="2"/>
        <v>224</v>
      </c>
      <c r="M19" s="90">
        <f t="shared" si="3"/>
        <v>0</v>
      </c>
      <c r="N19" s="37">
        <v>18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2:29" ht="17.25" thickTop="1" thickBot="1">
      <c r="B20" t="str">
        <f>wyniki!B29</f>
        <v>Banaszczyk Dawid</v>
      </c>
      <c r="C20" s="56">
        <f>wyniki!G29</f>
        <v>0</v>
      </c>
      <c r="D20" s="18">
        <v>1.9000000000000001E-4</v>
      </c>
      <c r="E20" s="56">
        <f t="shared" si="0"/>
        <v>1.9000000000000001E-4</v>
      </c>
      <c r="F20" t="str">
        <f>wyniki!$A$28</f>
        <v>SP2 Szydłowiec</v>
      </c>
      <c r="J20" s="79">
        <f t="shared" si="1"/>
        <v>0</v>
      </c>
      <c r="K20" s="69">
        <f>LARGE($E$2:$E$241,19)</f>
        <v>2.2300000000000002E-3</v>
      </c>
      <c r="L20" s="68">
        <f t="shared" si="2"/>
        <v>223</v>
      </c>
      <c r="M20" s="90">
        <f t="shared" si="3"/>
        <v>0</v>
      </c>
      <c r="N20" s="37">
        <v>19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2:29" ht="17.25" thickTop="1" thickBot="1">
      <c r="B21" t="str">
        <f>wyniki!B30</f>
        <v>Kroguec Antoni</v>
      </c>
      <c r="C21" s="56">
        <f>wyniki!G30</f>
        <v>0</v>
      </c>
      <c r="D21" s="18">
        <v>2.0000000000000001E-4</v>
      </c>
      <c r="E21" s="56">
        <f t="shared" si="0"/>
        <v>2.0000000000000001E-4</v>
      </c>
      <c r="F21" t="str">
        <f>wyniki!$A$28</f>
        <v>SP2 Szydłowiec</v>
      </c>
      <c r="J21" s="79">
        <f t="shared" si="1"/>
        <v>0</v>
      </c>
      <c r="K21" s="69">
        <f>LARGE($E$2:$E$241,20)</f>
        <v>2.2200000000000002E-3</v>
      </c>
      <c r="L21" s="68">
        <f t="shared" si="2"/>
        <v>222</v>
      </c>
      <c r="M21" s="90">
        <f t="shared" si="3"/>
        <v>0</v>
      </c>
      <c r="N21" s="37">
        <v>20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2:29" ht="17.25" thickTop="1" thickBot="1">
      <c r="B22" t="str">
        <f>wyniki!B31</f>
        <v>May Franciszek</v>
      </c>
      <c r="C22" s="56">
        <f>wyniki!G31</f>
        <v>0</v>
      </c>
      <c r="D22" s="18">
        <v>2.1000000000000001E-4</v>
      </c>
      <c r="E22" s="56">
        <f t="shared" si="0"/>
        <v>2.1000000000000001E-4</v>
      </c>
      <c r="F22" t="str">
        <f>wyniki!$A$28</f>
        <v>SP2 Szydłowiec</v>
      </c>
      <c r="J22" s="79">
        <f t="shared" si="1"/>
        <v>0</v>
      </c>
      <c r="K22" s="69">
        <f>LARGE($E$2:$E$241,21)</f>
        <v>2.2100000000000002E-3</v>
      </c>
      <c r="L22" s="68">
        <f t="shared" si="2"/>
        <v>221</v>
      </c>
      <c r="M22" s="90">
        <f t="shared" si="3"/>
        <v>0</v>
      </c>
      <c r="N22" s="37">
        <v>21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2:29" ht="17.25" thickTop="1" thickBot="1">
      <c r="B23" t="str">
        <f>wyniki!B32</f>
        <v>Pawlak Kacper</v>
      </c>
      <c r="C23" s="56">
        <f>wyniki!G32</f>
        <v>0</v>
      </c>
      <c r="D23" s="18">
        <v>2.2000000000000001E-4</v>
      </c>
      <c r="E23" s="56">
        <f t="shared" si="0"/>
        <v>2.2000000000000001E-4</v>
      </c>
      <c r="F23" t="str">
        <f>wyniki!$A$28</f>
        <v>SP2 Szydłowiec</v>
      </c>
      <c r="J23" s="79">
        <f t="shared" si="1"/>
        <v>0</v>
      </c>
      <c r="K23" s="69">
        <f>LARGE($E$2:$E$241,22)</f>
        <v>2.2000000000000001E-3</v>
      </c>
      <c r="L23" s="68">
        <f t="shared" si="2"/>
        <v>220</v>
      </c>
      <c r="M23" s="90">
        <f t="shared" si="3"/>
        <v>0</v>
      </c>
      <c r="N23" s="37">
        <v>22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2:29" ht="17.25" thickTop="1" thickBot="1">
      <c r="B24" t="str">
        <f>wyniki!B33</f>
        <v>Sala Szymon</v>
      </c>
      <c r="C24" s="56">
        <f>wyniki!G33</f>
        <v>0</v>
      </c>
      <c r="D24" s="18">
        <v>2.3000000000000001E-4</v>
      </c>
      <c r="E24" s="56">
        <f t="shared" si="0"/>
        <v>2.3000000000000001E-4</v>
      </c>
      <c r="F24" t="str">
        <f>wyniki!$A$28</f>
        <v>SP2 Szydłowiec</v>
      </c>
      <c r="J24" s="79">
        <f t="shared" si="1"/>
        <v>0</v>
      </c>
      <c r="K24" s="69">
        <f>LARGE($E$2:$E$241,23)</f>
        <v>2.1900000000000001E-3</v>
      </c>
      <c r="L24" s="68">
        <f t="shared" si="2"/>
        <v>219</v>
      </c>
      <c r="M24" s="90">
        <f t="shared" si="3"/>
        <v>0</v>
      </c>
      <c r="N24" s="37">
        <v>23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2:29" ht="17.25" thickTop="1" thickBot="1">
      <c r="B25" t="str">
        <f>wyniki!B34</f>
        <v>Walasik Kacper</v>
      </c>
      <c r="C25" s="56">
        <f>wyniki!G34</f>
        <v>0</v>
      </c>
      <c r="D25" s="18">
        <v>2.4000000000000001E-4</v>
      </c>
      <c r="E25" s="56">
        <f t="shared" si="0"/>
        <v>2.4000000000000001E-4</v>
      </c>
      <c r="F25" t="str">
        <f>wyniki!$A$28</f>
        <v>SP2 Szydłowiec</v>
      </c>
      <c r="J25" s="79">
        <f t="shared" si="1"/>
        <v>0</v>
      </c>
      <c r="K25" s="69">
        <f>LARGE($E$2:$E$241,24)</f>
        <v>2.1800000000000001E-3</v>
      </c>
      <c r="L25" s="68">
        <f t="shared" si="2"/>
        <v>218</v>
      </c>
      <c r="M25" s="90">
        <f t="shared" si="3"/>
        <v>0</v>
      </c>
      <c r="N25" s="37">
        <v>24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2:29" ht="17.25" thickTop="1" thickBot="1">
      <c r="B26" t="str">
        <f>wyniki!B36</f>
        <v>Dąbrowski Bartosz</v>
      </c>
      <c r="C26" s="56">
        <f>wyniki!G36</f>
        <v>0</v>
      </c>
      <c r="D26" s="18">
        <v>2.5000000000000001E-4</v>
      </c>
      <c r="E26" s="56">
        <f t="shared" si="0"/>
        <v>2.5000000000000001E-4</v>
      </c>
      <c r="F26" t="str">
        <f>wyniki!$A$35</f>
        <v>SP9 Siedlce</v>
      </c>
      <c r="J26" s="79">
        <f t="shared" si="1"/>
        <v>0</v>
      </c>
      <c r="K26" s="69">
        <f>LARGE($E$2:$E$241,25)</f>
        <v>2.1700000000000001E-3</v>
      </c>
      <c r="L26" s="68">
        <f t="shared" si="2"/>
        <v>217</v>
      </c>
      <c r="M26" s="90">
        <f t="shared" si="3"/>
        <v>0</v>
      </c>
      <c r="N26" s="37">
        <v>25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2:29" ht="17.25" thickTop="1" thickBot="1">
      <c r="B27" t="str">
        <f>wyniki!B37</f>
        <v>Kamiński Mateusz</v>
      </c>
      <c r="C27" s="56">
        <f>wyniki!G37</f>
        <v>0</v>
      </c>
      <c r="D27" s="18">
        <v>2.5999999999999998E-4</v>
      </c>
      <c r="E27" s="56">
        <f t="shared" si="0"/>
        <v>2.5999999999999998E-4</v>
      </c>
      <c r="F27" t="str">
        <f>wyniki!$A$35</f>
        <v>SP9 Siedlce</v>
      </c>
      <c r="J27" s="79">
        <f t="shared" si="1"/>
        <v>0</v>
      </c>
      <c r="K27" s="69">
        <f>LARGE($E$2:$E$241,26)</f>
        <v>2.16E-3</v>
      </c>
      <c r="L27" s="68">
        <f t="shared" si="2"/>
        <v>216</v>
      </c>
      <c r="M27" s="90">
        <f t="shared" si="3"/>
        <v>0</v>
      </c>
      <c r="N27" s="37">
        <v>26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2:29" ht="17.25" thickTop="1" thickBot="1">
      <c r="B28" t="str">
        <f>wyniki!B38</f>
        <v>Krasuski Jakub</v>
      </c>
      <c r="C28" s="56">
        <f>wyniki!G38</f>
        <v>0</v>
      </c>
      <c r="D28" s="18">
        <v>2.7E-4</v>
      </c>
      <c r="E28" s="56">
        <f t="shared" si="0"/>
        <v>2.7E-4</v>
      </c>
      <c r="F28" t="str">
        <f>wyniki!$A$35</f>
        <v>SP9 Siedlce</v>
      </c>
      <c r="J28" s="79">
        <f t="shared" si="1"/>
        <v>0</v>
      </c>
      <c r="K28" s="69">
        <f>LARGE($E$2:$E$241,27)</f>
        <v>2.15E-3</v>
      </c>
      <c r="L28" s="68">
        <f t="shared" si="2"/>
        <v>215</v>
      </c>
      <c r="M28" s="90">
        <f t="shared" si="3"/>
        <v>0</v>
      </c>
      <c r="N28" s="37">
        <v>27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2:29" ht="17.25" thickTop="1" thickBot="1">
      <c r="B29" t="str">
        <f>wyniki!B39</f>
        <v>Sajewicz Piotr</v>
      </c>
      <c r="C29" s="56">
        <f>wyniki!G39</f>
        <v>0</v>
      </c>
      <c r="D29" s="18">
        <v>2.7999999999999998E-4</v>
      </c>
      <c r="E29" s="56">
        <f t="shared" si="0"/>
        <v>2.7999999999999998E-4</v>
      </c>
      <c r="F29" t="str">
        <f>wyniki!$A$35</f>
        <v>SP9 Siedlce</v>
      </c>
      <c r="J29" s="79">
        <f t="shared" si="1"/>
        <v>0</v>
      </c>
      <c r="K29" s="69">
        <f>LARGE($E$2:$E$241,28)</f>
        <v>2.14E-3</v>
      </c>
      <c r="L29" s="68">
        <f t="shared" si="2"/>
        <v>214</v>
      </c>
      <c r="M29" s="90">
        <f t="shared" si="3"/>
        <v>0</v>
      </c>
      <c r="N29" s="37">
        <v>28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2:29" ht="17.25" thickTop="1" thickBot="1">
      <c r="B30" t="str">
        <f>wyniki!B40</f>
        <v>Sypiański Szymon</v>
      </c>
      <c r="C30" s="56">
        <f>wyniki!G40</f>
        <v>0</v>
      </c>
      <c r="D30" s="18">
        <v>2.9E-4</v>
      </c>
      <c r="E30" s="56">
        <f t="shared" si="0"/>
        <v>2.9E-4</v>
      </c>
      <c r="F30" t="str">
        <f>wyniki!$A$35</f>
        <v>SP9 Siedlce</v>
      </c>
      <c r="J30" s="79">
        <f t="shared" si="1"/>
        <v>0</v>
      </c>
      <c r="K30" s="69">
        <f>LARGE($E$2:$E$241,29)</f>
        <v>2.1299999999999999E-3</v>
      </c>
      <c r="L30" s="68">
        <f t="shared" si="2"/>
        <v>213</v>
      </c>
      <c r="M30" s="90">
        <f t="shared" si="3"/>
        <v>0</v>
      </c>
      <c r="N30" s="37">
        <v>29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2:29" ht="17.25" thickTop="1" thickBot="1">
      <c r="B31" t="str">
        <f>wyniki!B41</f>
        <v>Terlikowski Ignacy</v>
      </c>
      <c r="C31" s="56">
        <f>wyniki!G41</f>
        <v>0</v>
      </c>
      <c r="D31" s="18">
        <v>2.9999999999999997E-4</v>
      </c>
      <c r="E31" s="56">
        <f t="shared" si="0"/>
        <v>2.9999999999999997E-4</v>
      </c>
      <c r="F31" t="str">
        <f>wyniki!$A$35</f>
        <v>SP9 Siedlce</v>
      </c>
      <c r="J31" s="79">
        <f t="shared" si="1"/>
        <v>0</v>
      </c>
      <c r="K31" s="69">
        <f>LARGE($E$2:$E$241,30)</f>
        <v>2.1199999999999999E-3</v>
      </c>
      <c r="L31" s="68">
        <f t="shared" si="2"/>
        <v>212</v>
      </c>
      <c r="M31" s="90">
        <f t="shared" si="3"/>
        <v>0</v>
      </c>
      <c r="N31" s="37">
        <v>30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2:29" ht="17.25" thickTop="1" thickBot="1">
      <c r="B32" t="str">
        <f>wyniki!B43</f>
        <v>Baran Wiktor</v>
      </c>
      <c r="C32" s="56">
        <f>wyniki!G43</f>
        <v>0</v>
      </c>
      <c r="D32" s="18">
        <v>3.1E-4</v>
      </c>
      <c r="E32" s="56">
        <f t="shared" si="0"/>
        <v>3.1E-4</v>
      </c>
      <c r="F32" t="str">
        <f>wyniki!$A$42</f>
        <v>SP1 Ostrów Maz</v>
      </c>
      <c r="J32" s="79">
        <f t="shared" si="1"/>
        <v>0</v>
      </c>
      <c r="K32" s="69">
        <f>LARGE($E$2:$E$241,31)</f>
        <v>2.1099999999999999E-3</v>
      </c>
      <c r="L32" s="68">
        <f t="shared" si="2"/>
        <v>211</v>
      </c>
      <c r="M32" s="90">
        <f t="shared" si="3"/>
        <v>0</v>
      </c>
      <c r="N32" s="37">
        <v>31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2:29" ht="17.25" thickTop="1" thickBot="1">
      <c r="B33" t="str">
        <f>wyniki!B44</f>
        <v>Kaczerski Kuba</v>
      </c>
      <c r="C33" s="56">
        <f>wyniki!G44</f>
        <v>0</v>
      </c>
      <c r="D33" s="18">
        <v>3.2000000000000003E-4</v>
      </c>
      <c r="E33" s="56">
        <f t="shared" si="0"/>
        <v>3.2000000000000003E-4</v>
      </c>
      <c r="F33" t="str">
        <f>wyniki!$A$42</f>
        <v>SP1 Ostrów Maz</v>
      </c>
      <c r="J33" s="79">
        <f t="shared" si="1"/>
        <v>0</v>
      </c>
      <c r="K33" s="69">
        <f>LARGE($E$2:$E$241,32)</f>
        <v>2.0999999999999999E-3</v>
      </c>
      <c r="L33" s="68">
        <f t="shared" si="2"/>
        <v>210</v>
      </c>
      <c r="M33" s="90">
        <f t="shared" si="3"/>
        <v>0</v>
      </c>
      <c r="N33" s="37">
        <v>32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2:29" ht="17.25" thickTop="1" thickBot="1">
      <c r="B34" t="str">
        <f>wyniki!B45</f>
        <v>Malec Alan</v>
      </c>
      <c r="C34" s="56">
        <f>wyniki!G45</f>
        <v>0</v>
      </c>
      <c r="D34" s="18">
        <v>3.3E-4</v>
      </c>
      <c r="E34" s="56">
        <f t="shared" si="0"/>
        <v>3.3E-4</v>
      </c>
      <c r="F34" t="str">
        <f>wyniki!$A$42</f>
        <v>SP1 Ostrów Maz</v>
      </c>
      <c r="J34" s="79">
        <f t="shared" si="1"/>
        <v>0</v>
      </c>
      <c r="K34" s="69">
        <f>LARGE($E$2:$E$241,33)</f>
        <v>2.0899999999999998E-3</v>
      </c>
      <c r="L34" s="68">
        <f t="shared" si="2"/>
        <v>209</v>
      </c>
      <c r="M34" s="90">
        <f t="shared" si="3"/>
        <v>0</v>
      </c>
      <c r="N34" s="37">
        <v>33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2:29" ht="17.25" thickTop="1" thickBot="1">
      <c r="B35" t="str">
        <f>wyniki!B46</f>
        <v>Maliszewski Jan</v>
      </c>
      <c r="C35" s="56">
        <f>wyniki!G46</f>
        <v>0</v>
      </c>
      <c r="D35" s="18">
        <v>3.4000000000000002E-4</v>
      </c>
      <c r="E35" s="56">
        <f t="shared" si="0"/>
        <v>3.4000000000000002E-4</v>
      </c>
      <c r="F35" t="str">
        <f>wyniki!$A$42</f>
        <v>SP1 Ostrów Maz</v>
      </c>
      <c r="J35" s="79">
        <f t="shared" si="1"/>
        <v>0</v>
      </c>
      <c r="K35" s="69">
        <f>LARGE($E$2:$E$241,34)</f>
        <v>2.0799999999999998E-3</v>
      </c>
      <c r="L35" s="68">
        <f t="shared" si="2"/>
        <v>208</v>
      </c>
      <c r="M35" s="90">
        <f t="shared" si="3"/>
        <v>0</v>
      </c>
      <c r="N35" s="37">
        <v>34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2:29" ht="17.25" thickTop="1" thickBot="1">
      <c r="B36" t="str">
        <f>wyniki!B47</f>
        <v>Maliszewski Michał</v>
      </c>
      <c r="C36" s="56">
        <f>wyniki!G47</f>
        <v>0</v>
      </c>
      <c r="D36" s="18">
        <v>3.5E-4</v>
      </c>
      <c r="E36" s="56">
        <f t="shared" si="0"/>
        <v>3.5E-4</v>
      </c>
      <c r="F36" t="str">
        <f>wyniki!$A$42</f>
        <v>SP1 Ostrów Maz</v>
      </c>
      <c r="J36" s="79">
        <f t="shared" si="1"/>
        <v>0</v>
      </c>
      <c r="K36" s="69">
        <f>LARGE($E$2:$E$241,35)</f>
        <v>2.0699999999999998E-3</v>
      </c>
      <c r="L36" s="68">
        <f t="shared" si="2"/>
        <v>207</v>
      </c>
      <c r="M36" s="90">
        <f t="shared" si="3"/>
        <v>0</v>
      </c>
      <c r="N36" s="37">
        <v>35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2:29" ht="17.25" thickTop="1" thickBot="1">
      <c r="B37" t="str">
        <f>wyniki!B48</f>
        <v>Równy Krystian</v>
      </c>
      <c r="C37" s="56">
        <f>wyniki!G48</f>
        <v>0</v>
      </c>
      <c r="D37" s="18">
        <v>3.6000000000000002E-4</v>
      </c>
      <c r="E37" s="56">
        <f t="shared" si="0"/>
        <v>3.6000000000000002E-4</v>
      </c>
      <c r="F37" t="str">
        <f>wyniki!$A$42</f>
        <v>SP1 Ostrów Maz</v>
      </c>
      <c r="J37" s="79">
        <f t="shared" si="1"/>
        <v>0</v>
      </c>
      <c r="K37" s="69">
        <f>LARGE($E$2:$E$241,36)</f>
        <v>2.0600000000000002E-3</v>
      </c>
      <c r="L37" s="68">
        <f t="shared" si="2"/>
        <v>206</v>
      </c>
      <c r="M37" s="90">
        <f t="shared" si="3"/>
        <v>0</v>
      </c>
      <c r="N37" s="37">
        <v>36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2:29" ht="17.25" thickTop="1" thickBot="1">
      <c r="B38" t="str">
        <f>wyniki!B50</f>
        <v>Karbowski Aleksander</v>
      </c>
      <c r="C38" s="56">
        <f>wyniki!G50</f>
        <v>0</v>
      </c>
      <c r="D38" s="18">
        <v>3.6999999999999999E-4</v>
      </c>
      <c r="E38" s="56">
        <f t="shared" si="0"/>
        <v>3.6999999999999999E-4</v>
      </c>
      <c r="F38" t="str">
        <f>wyniki!$A$49</f>
        <v>SP204 Warszawa</v>
      </c>
      <c r="J38" s="79">
        <f t="shared" si="1"/>
        <v>0</v>
      </c>
      <c r="K38" s="69">
        <f>LARGE($E$2:$E$241,37)</f>
        <v>2.0500000000000002E-3</v>
      </c>
      <c r="L38" s="68">
        <f t="shared" si="2"/>
        <v>205</v>
      </c>
      <c r="M38" s="90">
        <f t="shared" si="3"/>
        <v>0</v>
      </c>
      <c r="N38" s="37">
        <v>37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2:29" ht="17.25" thickTop="1" thickBot="1">
      <c r="B39" t="str">
        <f>wyniki!B51</f>
        <v>Mirecki Mateusz</v>
      </c>
      <c r="C39" s="56">
        <f>wyniki!G51</f>
        <v>0</v>
      </c>
      <c r="D39" s="18">
        <v>3.8000000000000002E-4</v>
      </c>
      <c r="E39" s="56">
        <f t="shared" si="0"/>
        <v>3.8000000000000002E-4</v>
      </c>
      <c r="F39" t="str">
        <f>wyniki!$A$49</f>
        <v>SP204 Warszawa</v>
      </c>
      <c r="J39" s="79">
        <f t="shared" si="1"/>
        <v>0</v>
      </c>
      <c r="K39" s="69">
        <f>LARGE($E$2:$E$241,38)</f>
        <v>2.0400000000000001E-3</v>
      </c>
      <c r="L39" s="68">
        <f t="shared" si="2"/>
        <v>204</v>
      </c>
      <c r="M39" s="90">
        <f t="shared" si="3"/>
        <v>0</v>
      </c>
      <c r="N39" s="37">
        <v>38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2:29" ht="17.25" thickTop="1" thickBot="1">
      <c r="B40" t="str">
        <f>wyniki!B52</f>
        <v>Porębski Jakub</v>
      </c>
      <c r="C40" s="56">
        <f>wyniki!G52</f>
        <v>0</v>
      </c>
      <c r="D40" s="18">
        <v>3.8999999999999999E-4</v>
      </c>
      <c r="E40" s="56">
        <f t="shared" si="0"/>
        <v>3.8999999999999999E-4</v>
      </c>
      <c r="F40" t="str">
        <f>wyniki!$A$49</f>
        <v>SP204 Warszawa</v>
      </c>
      <c r="J40" s="79">
        <f t="shared" si="1"/>
        <v>0</v>
      </c>
      <c r="K40" s="69">
        <f>LARGE($E$2:$E$241,39)</f>
        <v>2.0300000000000001E-3</v>
      </c>
      <c r="L40" s="68">
        <f t="shared" si="2"/>
        <v>203</v>
      </c>
      <c r="M40" s="90">
        <f t="shared" si="3"/>
        <v>0</v>
      </c>
      <c r="N40" s="37">
        <v>39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2:29" ht="17.25" thickTop="1" thickBot="1">
      <c r="B41" t="str">
        <f>wyniki!B53</f>
        <v>Tuczyński Aleksander</v>
      </c>
      <c r="C41" s="56">
        <f>wyniki!G53</f>
        <v>0</v>
      </c>
      <c r="D41" s="18">
        <v>4.0000000000000002E-4</v>
      </c>
      <c r="E41" s="56">
        <f t="shared" si="0"/>
        <v>4.0000000000000002E-4</v>
      </c>
      <c r="F41" t="str">
        <f>wyniki!$A$49</f>
        <v>SP204 Warszawa</v>
      </c>
      <c r="J41" s="79">
        <f t="shared" si="1"/>
        <v>0</v>
      </c>
      <c r="K41" s="69">
        <f>LARGE($E$2:$E$241,40)</f>
        <v>2.0200000000000001E-3</v>
      </c>
      <c r="L41" s="68">
        <f t="shared" si="2"/>
        <v>202</v>
      </c>
      <c r="M41" s="90">
        <f t="shared" si="3"/>
        <v>0</v>
      </c>
      <c r="N41" s="37">
        <v>40</v>
      </c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2:29" ht="17.25" thickTop="1" thickBot="1">
      <c r="B42" t="str">
        <f>wyniki!B54</f>
        <v>Zawadzki Szymon</v>
      </c>
      <c r="C42" s="56">
        <f>wyniki!G54</f>
        <v>0</v>
      </c>
      <c r="D42" s="18">
        <v>4.0999999999999999E-4</v>
      </c>
      <c r="E42" s="56">
        <f t="shared" si="0"/>
        <v>4.0999999999999999E-4</v>
      </c>
      <c r="F42" t="str">
        <f>wyniki!$A$49</f>
        <v>SP204 Warszawa</v>
      </c>
      <c r="J42" s="79">
        <f t="shared" si="1"/>
        <v>0</v>
      </c>
      <c r="K42" s="69">
        <f>LARGE($E$2:$E$241,41)</f>
        <v>2.0100000000000001E-3</v>
      </c>
      <c r="L42" s="68">
        <f t="shared" si="2"/>
        <v>201</v>
      </c>
      <c r="M42" s="90">
        <f t="shared" si="3"/>
        <v>0</v>
      </c>
      <c r="N42" s="37">
        <v>41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2:29" ht="17.25" thickTop="1" thickBot="1">
      <c r="B43" t="str">
        <f>wyniki!B55</f>
        <v>Zieniewicz Franciszek</v>
      </c>
      <c r="C43" s="56">
        <f>wyniki!G55</f>
        <v>0</v>
      </c>
      <c r="D43" s="18">
        <v>4.2000000000000002E-4</v>
      </c>
      <c r="E43" s="56">
        <f t="shared" si="0"/>
        <v>4.2000000000000002E-4</v>
      </c>
      <c r="F43" t="str">
        <f>wyniki!$A$49</f>
        <v>SP204 Warszawa</v>
      </c>
      <c r="J43" s="79">
        <f t="shared" si="1"/>
        <v>0</v>
      </c>
      <c r="K43" s="69">
        <f>LARGE($E$2:$E$241,42)</f>
        <v>2E-3</v>
      </c>
      <c r="L43" s="68">
        <f t="shared" si="2"/>
        <v>200</v>
      </c>
      <c r="M43" s="90">
        <f t="shared" si="3"/>
        <v>0</v>
      </c>
      <c r="N43" s="37">
        <v>42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2:29" ht="17.25" thickTop="1" thickBot="1">
      <c r="B44" t="str">
        <f>wyniki!B57</f>
        <v>Cisek Mikołaj</v>
      </c>
      <c r="C44" s="56">
        <f>wyniki!G57</f>
        <v>0</v>
      </c>
      <c r="D44" s="18">
        <v>4.2999999999999999E-4</v>
      </c>
      <c r="E44" s="56">
        <f t="shared" si="0"/>
        <v>4.2999999999999999E-4</v>
      </c>
      <c r="F44" t="str">
        <f>wyniki!$A$56</f>
        <v>SP Zielonki Parcela</v>
      </c>
      <c r="J44" s="79">
        <f t="shared" si="1"/>
        <v>0</v>
      </c>
      <c r="K44" s="69">
        <f>LARGE($E$2:$E$241,43)</f>
        <v>1.99E-3</v>
      </c>
      <c r="L44" s="68">
        <f t="shared" si="2"/>
        <v>199</v>
      </c>
      <c r="M44" s="90">
        <f t="shared" si="3"/>
        <v>0</v>
      </c>
      <c r="N44" s="37">
        <v>43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2:29" ht="17.25" thickTop="1" thickBot="1">
      <c r="B45" t="str">
        <f>wyniki!B58</f>
        <v>Dyszkowski Mateusz</v>
      </c>
      <c r="C45" s="56">
        <f>wyniki!G58</f>
        <v>0</v>
      </c>
      <c r="D45" s="18">
        <v>4.4000000000000002E-4</v>
      </c>
      <c r="E45" s="56">
        <f t="shared" si="0"/>
        <v>4.4000000000000002E-4</v>
      </c>
      <c r="F45" t="str">
        <f>wyniki!$A$56</f>
        <v>SP Zielonki Parcela</v>
      </c>
      <c r="J45" s="79">
        <f t="shared" si="1"/>
        <v>0</v>
      </c>
      <c r="K45" s="69">
        <f>LARGE($E$2:$E$241,44)</f>
        <v>1.98E-3</v>
      </c>
      <c r="L45" s="68">
        <f t="shared" si="2"/>
        <v>198</v>
      </c>
      <c r="M45" s="90">
        <f t="shared" si="3"/>
        <v>0</v>
      </c>
      <c r="N45" s="37">
        <v>44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2:29" ht="17.25" thickTop="1" thickBot="1">
      <c r="B46" t="str">
        <f>wyniki!B59</f>
        <v>Kowalski Tymoteusz</v>
      </c>
      <c r="C46" s="56">
        <f>wyniki!G59</f>
        <v>0</v>
      </c>
      <c r="D46" s="18">
        <v>4.4999999999999999E-4</v>
      </c>
      <c r="E46" s="56">
        <f t="shared" si="0"/>
        <v>4.4999999999999999E-4</v>
      </c>
      <c r="F46" t="str">
        <f>wyniki!$A$56</f>
        <v>SP Zielonki Parcela</v>
      </c>
      <c r="J46" s="79">
        <f t="shared" si="1"/>
        <v>0</v>
      </c>
      <c r="K46" s="69">
        <f>LARGE($E$2:$E$241,45)</f>
        <v>1.97E-3</v>
      </c>
      <c r="L46" s="68">
        <f t="shared" si="2"/>
        <v>197</v>
      </c>
      <c r="M46" s="90">
        <f t="shared" si="3"/>
        <v>0</v>
      </c>
      <c r="N46" s="37">
        <v>45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</row>
    <row r="47" spans="2:29" ht="17.25" thickTop="1" thickBot="1">
      <c r="B47" t="str">
        <f>wyniki!B60</f>
        <v>Sołomski Oliwier</v>
      </c>
      <c r="C47" s="56">
        <f>wyniki!G60</f>
        <v>0</v>
      </c>
      <c r="D47" s="18">
        <v>4.6000000000000001E-4</v>
      </c>
      <c r="E47" s="56">
        <f t="shared" si="0"/>
        <v>4.6000000000000001E-4</v>
      </c>
      <c r="F47" t="str">
        <f>wyniki!$A$56</f>
        <v>SP Zielonki Parcela</v>
      </c>
      <c r="J47" s="79">
        <f t="shared" si="1"/>
        <v>0</v>
      </c>
      <c r="K47" s="69">
        <f>LARGE($E$2:$E$241,46)</f>
        <v>1.9599999999999999E-3</v>
      </c>
      <c r="L47" s="68">
        <f t="shared" si="2"/>
        <v>196</v>
      </c>
      <c r="M47" s="90">
        <f t="shared" si="3"/>
        <v>0</v>
      </c>
      <c r="N47" s="37">
        <v>46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2:29" ht="17.25" thickTop="1" thickBot="1">
      <c r="B48" t="str">
        <f>wyniki!B61</f>
        <v>Stepień Wojciech</v>
      </c>
      <c r="C48" s="56">
        <f>wyniki!G61</f>
        <v>0</v>
      </c>
      <c r="D48" s="18">
        <v>4.6999999999999999E-4</v>
      </c>
      <c r="E48" s="56">
        <f t="shared" si="0"/>
        <v>4.6999999999999999E-4</v>
      </c>
      <c r="F48" t="str">
        <f>wyniki!$A$56</f>
        <v>SP Zielonki Parcela</v>
      </c>
      <c r="J48" s="79">
        <f t="shared" si="1"/>
        <v>0</v>
      </c>
      <c r="K48" s="69">
        <f>LARGE($E$2:$E$241,47)</f>
        <v>1.9499999999999999E-3</v>
      </c>
      <c r="L48" s="68">
        <f t="shared" si="2"/>
        <v>195</v>
      </c>
      <c r="M48" s="90">
        <f t="shared" si="3"/>
        <v>0</v>
      </c>
      <c r="N48" s="37">
        <v>47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2:29" ht="17.25" thickTop="1" thickBot="1">
      <c r="B49" t="str">
        <f>wyniki!B62</f>
        <v>Wójcicki Maciej</v>
      </c>
      <c r="C49" s="56">
        <f>wyniki!G62</f>
        <v>0</v>
      </c>
      <c r="D49" s="18">
        <v>4.8000000000000001E-4</v>
      </c>
      <c r="E49" s="56">
        <f t="shared" si="0"/>
        <v>4.8000000000000001E-4</v>
      </c>
      <c r="F49" t="str">
        <f>wyniki!$A$56</f>
        <v>SP Zielonki Parcela</v>
      </c>
      <c r="J49" s="79">
        <f t="shared" si="1"/>
        <v>0</v>
      </c>
      <c r="K49" s="69">
        <f>LARGE($E$2:$E$241,48)</f>
        <v>1.9400000000000001E-3</v>
      </c>
      <c r="L49" s="68">
        <f t="shared" si="2"/>
        <v>194</v>
      </c>
      <c r="M49" s="90">
        <f t="shared" si="3"/>
        <v>0</v>
      </c>
      <c r="N49" s="37">
        <v>48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2:29" ht="17.25" thickTop="1" thickBot="1">
      <c r="B50" t="str">
        <f>wyniki!B64</f>
        <v>Bryczyński Maksymilian</v>
      </c>
      <c r="C50" s="56">
        <f>wyniki!G64</f>
        <v>0</v>
      </c>
      <c r="D50" s="18">
        <v>4.8999999999999998E-4</v>
      </c>
      <c r="E50" s="56">
        <f t="shared" si="0"/>
        <v>4.8999999999999998E-4</v>
      </c>
      <c r="F50" t="str">
        <f>wyniki!$A$63</f>
        <v>SP154 Warszawa</v>
      </c>
      <c r="J50" s="79">
        <f t="shared" si="1"/>
        <v>0</v>
      </c>
      <c r="K50" s="69">
        <f>LARGE($E$2:$E$241,49)</f>
        <v>1.9300000000000001E-3</v>
      </c>
      <c r="L50" s="68">
        <f t="shared" si="2"/>
        <v>193</v>
      </c>
      <c r="M50" s="90">
        <f t="shared" si="3"/>
        <v>0</v>
      </c>
      <c r="N50" s="37">
        <v>49</v>
      </c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2:29" ht="17.25" thickTop="1" thickBot="1">
      <c r="B51" t="str">
        <f>wyniki!B65</f>
        <v>Dąbrowski Franciszek</v>
      </c>
      <c r="C51" s="56">
        <f>wyniki!G65</f>
        <v>0</v>
      </c>
      <c r="D51" s="18">
        <v>5.0000000000000001E-4</v>
      </c>
      <c r="E51" s="56">
        <f t="shared" si="0"/>
        <v>5.0000000000000001E-4</v>
      </c>
      <c r="F51" t="str">
        <f>wyniki!$A$63</f>
        <v>SP154 Warszawa</v>
      </c>
      <c r="J51" s="79">
        <f t="shared" si="1"/>
        <v>0</v>
      </c>
      <c r="K51" s="69">
        <f>LARGE($E$2:$E$241,50)</f>
        <v>1.92E-3</v>
      </c>
      <c r="L51" s="68">
        <f t="shared" si="2"/>
        <v>192</v>
      </c>
      <c r="M51" s="90">
        <f t="shared" si="3"/>
        <v>0</v>
      </c>
      <c r="N51" s="37">
        <v>50</v>
      </c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2:29" ht="17.25" thickTop="1" thickBot="1">
      <c r="B52" t="str">
        <f>wyniki!B66</f>
        <v>Kałęcki Bartosz</v>
      </c>
      <c r="C52" s="56">
        <f>wyniki!G66</f>
        <v>0</v>
      </c>
      <c r="D52" s="18">
        <v>5.1000000000000004E-4</v>
      </c>
      <c r="E52" s="56">
        <f t="shared" si="0"/>
        <v>5.1000000000000004E-4</v>
      </c>
      <c r="F52" t="str">
        <f>wyniki!$A$63</f>
        <v>SP154 Warszawa</v>
      </c>
      <c r="J52" s="79">
        <f t="shared" si="1"/>
        <v>0</v>
      </c>
      <c r="K52" s="69">
        <f>LARGE($E$2:$E$241,51)</f>
        <v>1.91E-3</v>
      </c>
      <c r="L52" s="68">
        <f t="shared" si="2"/>
        <v>191</v>
      </c>
      <c r="M52" s="90">
        <f t="shared" si="3"/>
        <v>0</v>
      </c>
      <c r="N52" s="37">
        <v>51</v>
      </c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2:29" ht="17.25" thickTop="1" thickBot="1">
      <c r="B53" t="str">
        <f>wyniki!B67</f>
        <v>Staszkiewicz Michał</v>
      </c>
      <c r="C53" s="56">
        <f>wyniki!G67</f>
        <v>0</v>
      </c>
      <c r="D53" s="18">
        <v>5.1999999999999995E-4</v>
      </c>
      <c r="E53" s="56">
        <f t="shared" si="0"/>
        <v>5.1999999999999995E-4</v>
      </c>
      <c r="F53" t="str">
        <f>wyniki!$A$63</f>
        <v>SP154 Warszawa</v>
      </c>
      <c r="J53" s="79">
        <f t="shared" si="1"/>
        <v>0</v>
      </c>
      <c r="K53" s="69">
        <f>LARGE($E$2:$E$241,52)</f>
        <v>1.9E-3</v>
      </c>
      <c r="L53" s="68">
        <f t="shared" si="2"/>
        <v>190</v>
      </c>
      <c r="M53" s="90">
        <f t="shared" si="3"/>
        <v>0</v>
      </c>
      <c r="N53" s="37">
        <v>52</v>
      </c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2:29" ht="17.25" thickTop="1" thickBot="1">
      <c r="B54" t="str">
        <f>wyniki!B68</f>
        <v>Tomiczak Jan</v>
      </c>
      <c r="C54" s="56">
        <f>wyniki!G68</f>
        <v>0</v>
      </c>
      <c r="D54" s="18">
        <v>5.2999999999999998E-4</v>
      </c>
      <c r="E54" s="56">
        <f t="shared" si="0"/>
        <v>5.2999999999999998E-4</v>
      </c>
      <c r="F54" t="str">
        <f>wyniki!$A$63</f>
        <v>SP154 Warszawa</v>
      </c>
      <c r="J54" s="79">
        <f t="shared" si="1"/>
        <v>0</v>
      </c>
      <c r="K54" s="69">
        <f>LARGE($E$2:$E$241,53)</f>
        <v>1.89E-3</v>
      </c>
      <c r="L54" s="68">
        <f t="shared" si="2"/>
        <v>189</v>
      </c>
      <c r="M54" s="90">
        <f t="shared" si="3"/>
        <v>0</v>
      </c>
      <c r="N54" s="37">
        <v>53</v>
      </c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2:29" ht="17.25" thickTop="1" thickBot="1">
      <c r="B55" t="str">
        <f>wyniki!B69</f>
        <v>Zaniemcha Nikodem</v>
      </c>
      <c r="C55" s="56">
        <f>wyniki!G69</f>
        <v>0</v>
      </c>
      <c r="D55" s="18">
        <v>5.4000000000000001E-4</v>
      </c>
      <c r="E55" s="56">
        <f t="shared" si="0"/>
        <v>5.4000000000000001E-4</v>
      </c>
      <c r="F55" t="str">
        <f>wyniki!$A$63</f>
        <v>SP154 Warszawa</v>
      </c>
      <c r="J55" s="79">
        <f t="shared" si="1"/>
        <v>0</v>
      </c>
      <c r="K55" s="69">
        <f>LARGE($E$2:$E$241,54)</f>
        <v>1.8799999999999999E-3</v>
      </c>
      <c r="L55" s="68">
        <f t="shared" si="2"/>
        <v>188</v>
      </c>
      <c r="M55" s="90">
        <f t="shared" si="3"/>
        <v>0</v>
      </c>
      <c r="N55" s="37">
        <v>54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2:29" ht="17.25" thickTop="1" thickBot="1">
      <c r="B56" t="str">
        <f>wyniki!B71</f>
        <v>Antosiak Maciej</v>
      </c>
      <c r="C56" s="56">
        <f>wyniki!G71</f>
        <v>0</v>
      </c>
      <c r="D56" s="18">
        <v>5.5000000000000003E-4</v>
      </c>
      <c r="E56" s="56">
        <f t="shared" si="0"/>
        <v>5.5000000000000003E-4</v>
      </c>
      <c r="F56" t="str">
        <f>wyniki!$A$70</f>
        <v xml:space="preserve">SP Jednorożec </v>
      </c>
      <c r="J56" s="79">
        <f t="shared" si="1"/>
        <v>0</v>
      </c>
      <c r="K56" s="69">
        <f>LARGE($E$2:$E$241,55)</f>
        <v>1.8699999999999999E-3</v>
      </c>
      <c r="L56" s="68">
        <f t="shared" si="2"/>
        <v>187</v>
      </c>
      <c r="M56" s="90">
        <f t="shared" si="3"/>
        <v>0</v>
      </c>
      <c r="N56" s="37">
        <v>55</v>
      </c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2:29" ht="17.25" thickTop="1" thickBot="1">
      <c r="B57" t="str">
        <f>wyniki!B72</f>
        <v>Bakuła Dawid</v>
      </c>
      <c r="C57" s="56">
        <f>wyniki!G72</f>
        <v>0</v>
      </c>
      <c r="D57" s="18">
        <v>5.5999999999999995E-4</v>
      </c>
      <c r="E57" s="56">
        <f t="shared" si="0"/>
        <v>5.5999999999999995E-4</v>
      </c>
      <c r="F57" t="str">
        <f>wyniki!$A$70</f>
        <v xml:space="preserve">SP Jednorożec </v>
      </c>
      <c r="J57" s="79">
        <f t="shared" si="1"/>
        <v>0</v>
      </c>
      <c r="K57" s="69">
        <f>LARGE($E$2:$E$241,56)</f>
        <v>1.8600000000000001E-3</v>
      </c>
      <c r="L57" s="68">
        <f t="shared" si="2"/>
        <v>186</v>
      </c>
      <c r="M57" s="90">
        <f t="shared" si="3"/>
        <v>0</v>
      </c>
      <c r="N57" s="37">
        <v>56</v>
      </c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2:29" ht="17.25" thickTop="1" thickBot="1">
      <c r="B58" t="str">
        <f>wyniki!B73</f>
        <v>Bonalski Maciej</v>
      </c>
      <c r="C58" s="56">
        <f>wyniki!G73</f>
        <v>0</v>
      </c>
      <c r="D58" s="18">
        <v>5.6999999999999998E-4</v>
      </c>
      <c r="E58" s="56">
        <f t="shared" si="0"/>
        <v>5.6999999999999998E-4</v>
      </c>
      <c r="F58" t="str">
        <f>wyniki!$A$70</f>
        <v xml:space="preserve">SP Jednorożec </v>
      </c>
      <c r="J58" s="79">
        <f t="shared" si="1"/>
        <v>0</v>
      </c>
      <c r="K58" s="69">
        <f>LARGE($E$2:$E$241,57)</f>
        <v>1.8500000000000001E-3</v>
      </c>
      <c r="L58" s="68">
        <f t="shared" si="2"/>
        <v>185</v>
      </c>
      <c r="M58" s="90">
        <f t="shared" si="3"/>
        <v>0</v>
      </c>
      <c r="N58" s="37">
        <v>57</v>
      </c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2:29" ht="17.25" thickTop="1" thickBot="1">
      <c r="B59" t="str">
        <f>wyniki!B74</f>
        <v>Bors Paweł</v>
      </c>
      <c r="C59" s="56">
        <f>wyniki!G74</f>
        <v>0</v>
      </c>
      <c r="D59" s="18">
        <v>5.8E-4</v>
      </c>
      <c r="E59" s="56">
        <f t="shared" si="0"/>
        <v>5.8E-4</v>
      </c>
      <c r="F59" t="str">
        <f>wyniki!$A$70</f>
        <v xml:space="preserve">SP Jednorożec </v>
      </c>
      <c r="J59" s="79">
        <f t="shared" si="1"/>
        <v>0</v>
      </c>
      <c r="K59" s="69">
        <f>LARGE($E$2:$E$241,58)</f>
        <v>1.8400000000000001E-3</v>
      </c>
      <c r="L59" s="68">
        <f t="shared" si="2"/>
        <v>184</v>
      </c>
      <c r="M59" s="90">
        <f t="shared" si="3"/>
        <v>0</v>
      </c>
      <c r="N59" s="37">
        <v>58</v>
      </c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2:29" ht="17.25" thickTop="1" thickBot="1">
      <c r="B60" t="str">
        <f>wyniki!B75</f>
        <v>Pękala Bartłomiej</v>
      </c>
      <c r="C60" s="56">
        <f>wyniki!G75</f>
        <v>0</v>
      </c>
      <c r="D60" s="18">
        <v>5.9000000000000003E-4</v>
      </c>
      <c r="E60" s="56">
        <f t="shared" si="0"/>
        <v>5.9000000000000003E-4</v>
      </c>
      <c r="F60" t="str">
        <f>wyniki!$A$70</f>
        <v xml:space="preserve">SP Jednorożec </v>
      </c>
      <c r="J60" s="79">
        <f t="shared" si="1"/>
        <v>0</v>
      </c>
      <c r="K60" s="69">
        <f>LARGE($E$2:$E$241,59)</f>
        <v>1.83E-3</v>
      </c>
      <c r="L60" s="68">
        <f t="shared" si="2"/>
        <v>183</v>
      </c>
      <c r="M60" s="90">
        <f t="shared" si="3"/>
        <v>0</v>
      </c>
      <c r="N60" s="37">
        <v>59</v>
      </c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2:29" ht="17.25" thickTop="1" thickBot="1">
      <c r="B61" t="str">
        <f>wyniki!B76</f>
        <v>Urbaniak Igor</v>
      </c>
      <c r="C61" s="56">
        <f>wyniki!G76</f>
        <v>0</v>
      </c>
      <c r="D61" s="18">
        <v>5.9999999999999995E-4</v>
      </c>
      <c r="E61" s="56">
        <f t="shared" si="0"/>
        <v>5.9999999999999995E-4</v>
      </c>
      <c r="F61" t="str">
        <f>wyniki!$A$70</f>
        <v xml:space="preserve">SP Jednorożec </v>
      </c>
      <c r="J61" s="79">
        <f t="shared" si="1"/>
        <v>0</v>
      </c>
      <c r="K61" s="69">
        <f>LARGE($E$2:$E$241,60)</f>
        <v>1.82E-3</v>
      </c>
      <c r="L61" s="68">
        <f t="shared" si="2"/>
        <v>182</v>
      </c>
      <c r="M61" s="90">
        <f t="shared" si="3"/>
        <v>0</v>
      </c>
      <c r="N61" s="37">
        <v>60</v>
      </c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spans="2:29" ht="17.25" thickTop="1" thickBot="1">
      <c r="B62" t="str">
        <f>wyniki!B78</f>
        <v>Balcer Antoni</v>
      </c>
      <c r="C62" s="56">
        <f>wyniki!G78</f>
        <v>0</v>
      </c>
      <c r="D62" s="18">
        <v>6.0999999999999997E-4</v>
      </c>
      <c r="E62" s="56">
        <f t="shared" si="0"/>
        <v>6.0999999999999997E-4</v>
      </c>
      <c r="F62" t="str">
        <f>wyniki!$A$77</f>
        <v>SP2 Zielonka</v>
      </c>
      <c r="J62" s="79">
        <f t="shared" si="1"/>
        <v>0</v>
      </c>
      <c r="K62" s="69">
        <f>LARGE($E$2:$E$241,61)</f>
        <v>1.81E-3</v>
      </c>
      <c r="L62" s="68">
        <f t="shared" si="2"/>
        <v>181</v>
      </c>
      <c r="M62" s="90">
        <f t="shared" si="3"/>
        <v>0</v>
      </c>
      <c r="N62" s="37">
        <v>61</v>
      </c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</row>
    <row r="63" spans="2:29" ht="17.25" thickTop="1" thickBot="1">
      <c r="B63" t="str">
        <f>wyniki!B79</f>
        <v>Kobielski Mateusz</v>
      </c>
      <c r="C63" s="56">
        <f>wyniki!G79</f>
        <v>0</v>
      </c>
      <c r="D63" s="18">
        <v>6.2E-4</v>
      </c>
      <c r="E63" s="56">
        <f t="shared" si="0"/>
        <v>6.2E-4</v>
      </c>
      <c r="F63" t="str">
        <f>wyniki!$A$77</f>
        <v>SP2 Zielonka</v>
      </c>
      <c r="J63" s="79">
        <f t="shared" si="1"/>
        <v>0</v>
      </c>
      <c r="K63" s="69">
        <f>LARGE($E$2:$E$241,62)</f>
        <v>1.8E-3</v>
      </c>
      <c r="L63" s="68">
        <f t="shared" si="2"/>
        <v>180</v>
      </c>
      <c r="M63" s="90">
        <f t="shared" si="3"/>
        <v>0</v>
      </c>
      <c r="N63" s="37">
        <v>62</v>
      </c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spans="2:29" ht="17.25" thickTop="1" thickBot="1">
      <c r="B64" t="str">
        <f>wyniki!B80</f>
        <v>Ducki Michał</v>
      </c>
      <c r="C64" s="56">
        <f>wyniki!G80</f>
        <v>0</v>
      </c>
      <c r="D64" s="18">
        <v>6.3000000000000003E-4</v>
      </c>
      <c r="E64" s="56">
        <f t="shared" si="0"/>
        <v>6.3000000000000003E-4</v>
      </c>
      <c r="F64" t="str">
        <f>wyniki!$A$77</f>
        <v>SP2 Zielonka</v>
      </c>
      <c r="J64" s="79">
        <f t="shared" si="1"/>
        <v>0</v>
      </c>
      <c r="K64" s="69">
        <f>LARGE($E$2:$E$241,63)</f>
        <v>1.7899999999999999E-3</v>
      </c>
      <c r="L64" s="68">
        <f t="shared" si="2"/>
        <v>179</v>
      </c>
      <c r="M64" s="90">
        <f t="shared" si="3"/>
        <v>0</v>
      </c>
      <c r="N64" s="37">
        <v>63</v>
      </c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2:29" ht="17.25" thickTop="1" thickBot="1">
      <c r="B65" t="str">
        <f>wyniki!B81</f>
        <v>Kochański Adrian</v>
      </c>
      <c r="C65" s="56">
        <f>wyniki!G81</f>
        <v>0</v>
      </c>
      <c r="D65" s="18">
        <v>6.4000000000000005E-4</v>
      </c>
      <c r="E65" s="56">
        <f t="shared" si="0"/>
        <v>6.4000000000000005E-4</v>
      </c>
      <c r="F65" t="str">
        <f>wyniki!$A$77</f>
        <v>SP2 Zielonka</v>
      </c>
      <c r="J65" s="79">
        <f t="shared" si="1"/>
        <v>0</v>
      </c>
      <c r="K65" s="69">
        <f>LARGE($E$2:$E$241,64)</f>
        <v>1.7799999999999999E-3</v>
      </c>
      <c r="L65" s="68">
        <f t="shared" si="2"/>
        <v>178</v>
      </c>
      <c r="M65" s="90">
        <f t="shared" si="3"/>
        <v>0</v>
      </c>
      <c r="N65" s="37">
        <v>64</v>
      </c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2:29" ht="17.25" thickTop="1" thickBot="1">
      <c r="B66" t="str">
        <f>wyniki!B82</f>
        <v>Sienkiewicz Marcin</v>
      </c>
      <c r="C66" s="56">
        <f>wyniki!G82</f>
        <v>0</v>
      </c>
      <c r="D66" s="18">
        <v>6.4999999999999997E-4</v>
      </c>
      <c r="E66" s="56">
        <f t="shared" si="0"/>
        <v>6.4999999999999997E-4</v>
      </c>
      <c r="F66" t="str">
        <f>wyniki!$A$77</f>
        <v>SP2 Zielonka</v>
      </c>
      <c r="J66" s="79">
        <f t="shared" si="1"/>
        <v>0</v>
      </c>
      <c r="K66" s="69">
        <f>LARGE($E$2:$E$241,65)</f>
        <v>1.7700000000000001E-3</v>
      </c>
      <c r="L66" s="68">
        <f t="shared" si="2"/>
        <v>177</v>
      </c>
      <c r="M66" s="90">
        <f t="shared" si="3"/>
        <v>0</v>
      </c>
      <c r="N66" s="37">
        <v>65</v>
      </c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2:29" ht="17.25" thickTop="1" thickBot="1">
      <c r="B67" t="str">
        <f>wyniki!B83</f>
        <v>Zwierzchowski Krystian</v>
      </c>
      <c r="C67" s="56">
        <f>wyniki!G83</f>
        <v>0</v>
      </c>
      <c r="D67" s="18">
        <v>6.6E-4</v>
      </c>
      <c r="E67" s="56">
        <f t="shared" ref="E67:E130" si="4">C67+D67</f>
        <v>6.6E-4</v>
      </c>
      <c r="F67" t="str">
        <f>wyniki!$A$77</f>
        <v>SP2 Zielonka</v>
      </c>
      <c r="J67" s="79">
        <f t="shared" ref="J67:J130" si="5">INDEX($B$2:$E$241,L67,1)</f>
        <v>0</v>
      </c>
      <c r="K67" s="69">
        <f>LARGE($E$2:$E$241,66)</f>
        <v>1.7600000000000001E-3</v>
      </c>
      <c r="L67" s="68">
        <f t="shared" ref="L67:L130" si="6">MATCH(K67,$E$2:$E$241,0)</f>
        <v>176</v>
      </c>
      <c r="M67" s="90">
        <f t="shared" ref="M67:M130" si="7">INDEX($E$2:$F$241,L67,2)</f>
        <v>0</v>
      </c>
      <c r="N67" s="37">
        <v>66</v>
      </c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2:29" ht="17.25" thickTop="1" thickBot="1">
      <c r="B68" t="str">
        <f>wyniki!B85</f>
        <v>Cendrowski Kacper</v>
      </c>
      <c r="C68" s="56">
        <f>wyniki!G85</f>
        <v>0</v>
      </c>
      <c r="D68" s="18">
        <v>6.7000000000000002E-4</v>
      </c>
      <c r="E68" s="56">
        <f t="shared" si="4"/>
        <v>6.7000000000000002E-4</v>
      </c>
      <c r="F68" t="str">
        <f>wyniki!$A$84</f>
        <v>SP2 Mława</v>
      </c>
      <c r="J68" s="79">
        <f t="shared" si="5"/>
        <v>0</v>
      </c>
      <c r="K68" s="69">
        <f>LARGE($E$2:$E$241,67)</f>
        <v>1.75E-3</v>
      </c>
      <c r="L68" s="68">
        <f t="shared" si="6"/>
        <v>175</v>
      </c>
      <c r="M68" s="90">
        <f t="shared" si="7"/>
        <v>0</v>
      </c>
      <c r="N68" s="37">
        <v>67</v>
      </c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</row>
    <row r="69" spans="2:29" ht="17.25" thickTop="1" thickBot="1">
      <c r="B69" t="str">
        <f>wyniki!B86</f>
        <v>Domżalski Szymon</v>
      </c>
      <c r="C69" s="56">
        <f>wyniki!G86</f>
        <v>0</v>
      </c>
      <c r="D69" s="18">
        <v>6.8000000000000005E-4</v>
      </c>
      <c r="E69" s="56">
        <f t="shared" si="4"/>
        <v>6.8000000000000005E-4</v>
      </c>
      <c r="F69" t="str">
        <f>wyniki!$A$84</f>
        <v>SP2 Mława</v>
      </c>
      <c r="J69" s="79">
        <f t="shared" si="5"/>
        <v>0</v>
      </c>
      <c r="K69" s="69">
        <f>LARGE($E$2:$E$241,68)</f>
        <v>1.74E-3</v>
      </c>
      <c r="L69" s="68">
        <f t="shared" si="6"/>
        <v>174</v>
      </c>
      <c r="M69" s="90">
        <f t="shared" si="7"/>
        <v>0</v>
      </c>
      <c r="N69" s="37">
        <v>68</v>
      </c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</row>
    <row r="70" spans="2:29" ht="17.25" thickTop="1" thickBot="1">
      <c r="B70" t="str">
        <f>wyniki!B87</f>
        <v>Jędrzejewski Kamil</v>
      </c>
      <c r="C70" s="56">
        <f>wyniki!G87</f>
        <v>0</v>
      </c>
      <c r="D70" s="18">
        <v>6.8999999999999997E-4</v>
      </c>
      <c r="E70" s="56">
        <f t="shared" si="4"/>
        <v>6.8999999999999997E-4</v>
      </c>
      <c r="F70" t="str">
        <f>wyniki!$A$84</f>
        <v>SP2 Mława</v>
      </c>
      <c r="J70" s="79">
        <f t="shared" si="5"/>
        <v>0</v>
      </c>
      <c r="K70" s="69">
        <f>LARGE($E$2:$E$241,69)</f>
        <v>1.73E-3</v>
      </c>
      <c r="L70" s="68">
        <f t="shared" si="6"/>
        <v>173</v>
      </c>
      <c r="M70" s="90">
        <f t="shared" si="7"/>
        <v>0</v>
      </c>
      <c r="N70" s="37">
        <v>69</v>
      </c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</row>
    <row r="71" spans="2:29" ht="17.25" thickTop="1" thickBot="1">
      <c r="B71" t="str">
        <f>wyniki!B88</f>
        <v>Starzak Brajan</v>
      </c>
      <c r="C71" s="56">
        <f>wyniki!G88</f>
        <v>0</v>
      </c>
      <c r="D71" s="18">
        <v>6.9999999999999999E-4</v>
      </c>
      <c r="E71" s="56">
        <f t="shared" si="4"/>
        <v>6.9999999999999999E-4</v>
      </c>
      <c r="F71" t="str">
        <f>wyniki!$A$84</f>
        <v>SP2 Mława</v>
      </c>
      <c r="J71" s="79">
        <f t="shared" si="5"/>
        <v>0</v>
      </c>
      <c r="K71" s="69">
        <f>LARGE($E$2:$E$241,70)</f>
        <v>1.72E-3</v>
      </c>
      <c r="L71" s="68">
        <f t="shared" si="6"/>
        <v>172</v>
      </c>
      <c r="M71" s="90">
        <f t="shared" si="7"/>
        <v>0</v>
      </c>
      <c r="N71" s="37">
        <v>70</v>
      </c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</row>
    <row r="72" spans="2:29" ht="17.25" thickTop="1" thickBot="1">
      <c r="B72" t="str">
        <f>wyniki!B89</f>
        <v>Czaplicki Karol</v>
      </c>
      <c r="C72" s="56">
        <f>wyniki!G89</f>
        <v>0</v>
      </c>
      <c r="D72" s="18">
        <v>7.1000000000000002E-4</v>
      </c>
      <c r="E72" s="56">
        <f t="shared" si="4"/>
        <v>7.1000000000000002E-4</v>
      </c>
      <c r="F72" t="str">
        <f>wyniki!$A$84</f>
        <v>SP2 Mława</v>
      </c>
      <c r="J72" s="79">
        <f t="shared" si="5"/>
        <v>0</v>
      </c>
      <c r="K72" s="69">
        <f>LARGE($E$2:$E$241,71)</f>
        <v>1.7099999999999999E-3</v>
      </c>
      <c r="L72" s="68">
        <f t="shared" si="6"/>
        <v>171</v>
      </c>
      <c r="M72" s="90">
        <f t="shared" si="7"/>
        <v>0</v>
      </c>
      <c r="N72" s="37">
        <v>71</v>
      </c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</row>
    <row r="73" spans="2:29" ht="17.25" thickTop="1" thickBot="1">
      <c r="B73">
        <f>wyniki!B90</f>
        <v>0</v>
      </c>
      <c r="C73" s="56">
        <f>wyniki!G90</f>
        <v>0</v>
      </c>
      <c r="D73" s="18">
        <v>7.2000000000000005E-4</v>
      </c>
      <c r="E73" s="56">
        <f t="shared" si="4"/>
        <v>7.2000000000000005E-4</v>
      </c>
      <c r="F73" t="str">
        <f>wyniki!$A$84</f>
        <v>SP2 Mława</v>
      </c>
      <c r="J73" s="79">
        <f t="shared" si="5"/>
        <v>0</v>
      </c>
      <c r="K73" s="69">
        <f>LARGE($E$2:$E$241,72)</f>
        <v>1.6999999999999999E-3</v>
      </c>
      <c r="L73" s="68">
        <f t="shared" si="6"/>
        <v>170</v>
      </c>
      <c r="M73" s="90">
        <f t="shared" si="7"/>
        <v>0</v>
      </c>
      <c r="N73" s="37">
        <v>72</v>
      </c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</row>
    <row r="74" spans="2:29" ht="17.25" thickTop="1" thickBot="1">
      <c r="B74" t="str">
        <f>wyniki!B92</f>
        <v>Kołodziej Adam</v>
      </c>
      <c r="C74" s="56">
        <f>wyniki!G92</f>
        <v>0</v>
      </c>
      <c r="D74" s="18">
        <v>7.2999999999999996E-4</v>
      </c>
      <c r="E74" s="56">
        <f t="shared" si="4"/>
        <v>7.2999999999999996E-4</v>
      </c>
      <c r="F74" t="str">
        <f>wyniki!$A$91</f>
        <v>SP18 Płock</v>
      </c>
      <c r="J74" s="79">
        <f t="shared" si="5"/>
        <v>0</v>
      </c>
      <c r="K74" s="69">
        <f>LARGE($E$2:$E$241,73)</f>
        <v>1.6900000000000001E-3</v>
      </c>
      <c r="L74" s="68">
        <f t="shared" si="6"/>
        <v>169</v>
      </c>
      <c r="M74" s="90">
        <f t="shared" si="7"/>
        <v>0</v>
      </c>
      <c r="N74" s="37">
        <v>73</v>
      </c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</row>
    <row r="75" spans="2:29" ht="17.25" thickTop="1" thickBot="1">
      <c r="B75" t="str">
        <f>wyniki!B93</f>
        <v>Leszczyński Kacper</v>
      </c>
      <c r="C75" s="56">
        <f>wyniki!G93</f>
        <v>0</v>
      </c>
      <c r="D75" s="18">
        <v>7.3999999999999999E-4</v>
      </c>
      <c r="E75" s="56">
        <f t="shared" si="4"/>
        <v>7.3999999999999999E-4</v>
      </c>
      <c r="F75" t="str">
        <f>wyniki!$A$91</f>
        <v>SP18 Płock</v>
      </c>
      <c r="J75" s="79">
        <f t="shared" si="5"/>
        <v>0</v>
      </c>
      <c r="K75" s="69">
        <f>LARGE($E$2:$E$241,74)</f>
        <v>1.6800000000000001E-3</v>
      </c>
      <c r="L75" s="68">
        <f t="shared" si="6"/>
        <v>168</v>
      </c>
      <c r="M75" s="90">
        <f t="shared" si="7"/>
        <v>0</v>
      </c>
      <c r="N75" s="37">
        <v>74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2:29" ht="17.25" thickTop="1" thickBot="1">
      <c r="B76" t="str">
        <f>wyniki!B94</f>
        <v>Lewandowski Bartosz</v>
      </c>
      <c r="C76" s="56">
        <f>wyniki!G94</f>
        <v>0</v>
      </c>
      <c r="D76" s="18">
        <v>7.5000000000000002E-4</v>
      </c>
      <c r="E76" s="56">
        <f t="shared" si="4"/>
        <v>7.5000000000000002E-4</v>
      </c>
      <c r="F76" t="str">
        <f>wyniki!$A$91</f>
        <v>SP18 Płock</v>
      </c>
      <c r="J76" s="79">
        <f t="shared" si="5"/>
        <v>0</v>
      </c>
      <c r="K76" s="69">
        <f>LARGE($E$2:$E$241,75)</f>
        <v>1.67E-3</v>
      </c>
      <c r="L76" s="68">
        <f t="shared" si="6"/>
        <v>167</v>
      </c>
      <c r="M76" s="90">
        <f t="shared" si="7"/>
        <v>0</v>
      </c>
      <c r="N76" s="37">
        <v>75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</row>
    <row r="77" spans="2:29" ht="17.25" thickTop="1" thickBot="1">
      <c r="B77" t="str">
        <f>wyniki!B95</f>
        <v>Michalski Piotr</v>
      </c>
      <c r="C77" s="56">
        <f>wyniki!G95</f>
        <v>0</v>
      </c>
      <c r="D77" s="18">
        <v>7.6000000000000004E-4</v>
      </c>
      <c r="E77" s="56">
        <f t="shared" si="4"/>
        <v>7.6000000000000004E-4</v>
      </c>
      <c r="F77" t="str">
        <f>wyniki!$A$91</f>
        <v>SP18 Płock</v>
      </c>
      <c r="J77" s="79">
        <f t="shared" si="5"/>
        <v>0</v>
      </c>
      <c r="K77" s="69">
        <f>LARGE($E$2:$E$241,76)</f>
        <v>1.66E-3</v>
      </c>
      <c r="L77" s="68">
        <f t="shared" si="6"/>
        <v>166</v>
      </c>
      <c r="M77" s="90">
        <f t="shared" si="7"/>
        <v>0</v>
      </c>
      <c r="N77" s="37">
        <v>76</v>
      </c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spans="2:29" ht="17.25" thickTop="1" thickBot="1">
      <c r="B78" t="str">
        <f>wyniki!B96</f>
        <v>Olichwiruk Piotr</v>
      </c>
      <c r="C78" s="56">
        <f>wyniki!G96</f>
        <v>0</v>
      </c>
      <c r="D78" s="18">
        <v>7.6999999999999996E-4</v>
      </c>
      <c r="E78" s="56">
        <f t="shared" si="4"/>
        <v>7.6999999999999996E-4</v>
      </c>
      <c r="F78" t="str">
        <f>wyniki!$A$91</f>
        <v>SP18 Płock</v>
      </c>
      <c r="J78" s="79">
        <f t="shared" si="5"/>
        <v>0</v>
      </c>
      <c r="K78" s="69">
        <f>LARGE($E$2:$E$241,77)</f>
        <v>1.65E-3</v>
      </c>
      <c r="L78" s="68">
        <f t="shared" si="6"/>
        <v>165</v>
      </c>
      <c r="M78" s="90">
        <f t="shared" si="7"/>
        <v>0</v>
      </c>
      <c r="N78" s="37">
        <v>77</v>
      </c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</row>
    <row r="79" spans="2:29" ht="17.25" thickTop="1" thickBot="1">
      <c r="B79" t="str">
        <f>wyniki!B97</f>
        <v>Płachecki Sebastian</v>
      </c>
      <c r="C79" s="56">
        <f>wyniki!G97</f>
        <v>0</v>
      </c>
      <c r="D79" s="18">
        <v>7.7999999999999999E-4</v>
      </c>
      <c r="E79" s="56">
        <f t="shared" si="4"/>
        <v>7.7999999999999999E-4</v>
      </c>
      <c r="F79" t="str">
        <f>wyniki!$A$91</f>
        <v>SP18 Płock</v>
      </c>
      <c r="J79" s="79">
        <f t="shared" si="5"/>
        <v>0</v>
      </c>
      <c r="K79" s="69">
        <f>LARGE($E$2:$E$241,78)</f>
        <v>1.64E-3</v>
      </c>
      <c r="L79" s="68">
        <f t="shared" si="6"/>
        <v>164</v>
      </c>
      <c r="M79" s="90">
        <f t="shared" si="7"/>
        <v>0</v>
      </c>
      <c r="N79" s="37">
        <v>78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2:29" ht="17.25" thickTop="1" thickBot="1">
      <c r="B80">
        <f>wyniki!B99</f>
        <v>0</v>
      </c>
      <c r="C80" s="56">
        <f>wyniki!G99</f>
        <v>0</v>
      </c>
      <c r="D80" s="18">
        <v>7.9000000000000001E-4</v>
      </c>
      <c r="E80" s="56">
        <f t="shared" si="4"/>
        <v>7.9000000000000001E-4</v>
      </c>
      <c r="F80">
        <f>wyniki!$A$98</f>
        <v>0</v>
      </c>
      <c r="J80" s="79">
        <f t="shared" si="5"/>
        <v>0</v>
      </c>
      <c r="K80" s="69">
        <f>LARGE($E$2:$E$241,79)</f>
        <v>1.6299999999999999E-3</v>
      </c>
      <c r="L80" s="68">
        <f t="shared" si="6"/>
        <v>163</v>
      </c>
      <c r="M80" s="90">
        <f t="shared" si="7"/>
        <v>0</v>
      </c>
      <c r="N80" s="37">
        <v>79</v>
      </c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spans="2:29" ht="17.25" thickTop="1" thickBot="1">
      <c r="B81">
        <f>wyniki!B100</f>
        <v>0</v>
      </c>
      <c r="C81" s="56">
        <f>wyniki!G100</f>
        <v>0</v>
      </c>
      <c r="D81" s="18">
        <v>8.0000000000000004E-4</v>
      </c>
      <c r="E81" s="56">
        <f t="shared" si="4"/>
        <v>8.0000000000000004E-4</v>
      </c>
      <c r="F81">
        <f>wyniki!$A$98</f>
        <v>0</v>
      </c>
      <c r="J81" s="79">
        <f t="shared" si="5"/>
        <v>0</v>
      </c>
      <c r="K81" s="69">
        <f>LARGE($E$2:$E$241,80)</f>
        <v>1.6199999999999999E-3</v>
      </c>
      <c r="L81" s="68">
        <f t="shared" si="6"/>
        <v>162</v>
      </c>
      <c r="M81" s="90">
        <f t="shared" si="7"/>
        <v>0</v>
      </c>
      <c r="N81" s="37">
        <v>80</v>
      </c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2:29" ht="17.25" thickTop="1" thickBot="1">
      <c r="B82">
        <f>wyniki!B101</f>
        <v>0</v>
      </c>
      <c r="C82" s="56">
        <f>wyniki!G101</f>
        <v>0</v>
      </c>
      <c r="D82" s="18">
        <v>8.0999999999999996E-4</v>
      </c>
      <c r="E82" s="56">
        <f t="shared" si="4"/>
        <v>8.0999999999999996E-4</v>
      </c>
      <c r="F82">
        <f>wyniki!$A$98</f>
        <v>0</v>
      </c>
      <c r="J82" s="79">
        <f t="shared" si="5"/>
        <v>0</v>
      </c>
      <c r="K82" s="69">
        <f>LARGE($E$2:$E$241,81)</f>
        <v>1.6100000000000001E-3</v>
      </c>
      <c r="L82" s="68">
        <f t="shared" si="6"/>
        <v>161</v>
      </c>
      <c r="M82" s="90">
        <f t="shared" si="7"/>
        <v>0</v>
      </c>
      <c r="N82" s="37">
        <v>81</v>
      </c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</row>
    <row r="83" spans="2:29" ht="17.25" thickTop="1" thickBot="1">
      <c r="B83">
        <f>wyniki!B102</f>
        <v>0</v>
      </c>
      <c r="C83" s="56">
        <f>wyniki!G102</f>
        <v>0</v>
      </c>
      <c r="D83" s="18">
        <v>8.1999999999999998E-4</v>
      </c>
      <c r="E83" s="56">
        <f t="shared" si="4"/>
        <v>8.1999999999999998E-4</v>
      </c>
      <c r="F83">
        <f>wyniki!$A$98</f>
        <v>0</v>
      </c>
      <c r="J83" s="79">
        <f t="shared" si="5"/>
        <v>0</v>
      </c>
      <c r="K83" s="69">
        <f>LARGE($E$2:$E$241,82)</f>
        <v>1.6000000000000001E-3</v>
      </c>
      <c r="L83" s="68">
        <f t="shared" si="6"/>
        <v>160</v>
      </c>
      <c r="M83" s="90">
        <f t="shared" si="7"/>
        <v>0</v>
      </c>
      <c r="N83" s="37">
        <v>82</v>
      </c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</row>
    <row r="84" spans="2:29" ht="17.25" thickTop="1" thickBot="1">
      <c r="B84">
        <f>wyniki!B103</f>
        <v>0</v>
      </c>
      <c r="C84" s="56">
        <f>wyniki!G103</f>
        <v>0</v>
      </c>
      <c r="D84" s="18">
        <v>8.3000000000000001E-4</v>
      </c>
      <c r="E84" s="56">
        <f t="shared" si="4"/>
        <v>8.3000000000000001E-4</v>
      </c>
      <c r="F84">
        <f>wyniki!$A$98</f>
        <v>0</v>
      </c>
      <c r="J84" s="79">
        <f t="shared" si="5"/>
        <v>0</v>
      </c>
      <c r="K84" s="69">
        <f>LARGE($E$2:$E$241,83)</f>
        <v>1.5900000000000001E-3</v>
      </c>
      <c r="L84" s="68">
        <f t="shared" si="6"/>
        <v>159</v>
      </c>
      <c r="M84" s="90">
        <f t="shared" si="7"/>
        <v>0</v>
      </c>
      <c r="N84" s="37">
        <v>83</v>
      </c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</row>
    <row r="85" spans="2:29" ht="17.25" thickTop="1" thickBot="1">
      <c r="B85">
        <f>wyniki!B104</f>
        <v>0</v>
      </c>
      <c r="C85" s="56">
        <f>wyniki!G104</f>
        <v>0</v>
      </c>
      <c r="D85" s="18">
        <v>8.4000000000000003E-4</v>
      </c>
      <c r="E85" s="56">
        <f t="shared" si="4"/>
        <v>8.4000000000000003E-4</v>
      </c>
      <c r="F85">
        <f>wyniki!$A$98</f>
        <v>0</v>
      </c>
      <c r="J85" s="79">
        <f t="shared" si="5"/>
        <v>0</v>
      </c>
      <c r="K85" s="69">
        <f>LARGE($E$2:$E$241,84)</f>
        <v>1.58E-3</v>
      </c>
      <c r="L85" s="68">
        <f t="shared" si="6"/>
        <v>158</v>
      </c>
      <c r="M85" s="90">
        <f t="shared" si="7"/>
        <v>0</v>
      </c>
      <c r="N85" s="37">
        <v>84</v>
      </c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</row>
    <row r="86" spans="2:29" ht="17.25" thickTop="1" thickBot="1">
      <c r="B86">
        <f>wyniki!B106</f>
        <v>0</v>
      </c>
      <c r="C86" s="56">
        <f>wyniki!G106</f>
        <v>0</v>
      </c>
      <c r="D86" s="18">
        <v>8.4999999999999995E-4</v>
      </c>
      <c r="E86" s="56">
        <f t="shared" si="4"/>
        <v>8.4999999999999995E-4</v>
      </c>
      <c r="F86">
        <f>wyniki!$A$105</f>
        <v>0</v>
      </c>
      <c r="J86" s="79">
        <f t="shared" si="5"/>
        <v>0</v>
      </c>
      <c r="K86" s="69">
        <f>LARGE($E$2:$E$241,85)</f>
        <v>1.57E-3</v>
      </c>
      <c r="L86" s="68">
        <f t="shared" si="6"/>
        <v>157</v>
      </c>
      <c r="M86" s="90">
        <f t="shared" si="7"/>
        <v>0</v>
      </c>
      <c r="N86" s="37">
        <v>85</v>
      </c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</row>
    <row r="87" spans="2:29" ht="17.25" thickTop="1" thickBot="1">
      <c r="B87">
        <f>wyniki!B107</f>
        <v>0</v>
      </c>
      <c r="C87" s="56">
        <f>wyniki!G107</f>
        <v>0</v>
      </c>
      <c r="D87" s="18">
        <v>8.5999999999999998E-4</v>
      </c>
      <c r="E87" s="56">
        <f t="shared" si="4"/>
        <v>8.5999999999999998E-4</v>
      </c>
      <c r="F87">
        <f>wyniki!$A$105</f>
        <v>0</v>
      </c>
      <c r="J87" s="79">
        <f t="shared" si="5"/>
        <v>0</v>
      </c>
      <c r="K87" s="69">
        <f>LARGE($E$2:$E$241,86)</f>
        <v>1.56E-3</v>
      </c>
      <c r="L87" s="68">
        <f t="shared" si="6"/>
        <v>156</v>
      </c>
      <c r="M87" s="90">
        <f t="shared" si="7"/>
        <v>0</v>
      </c>
      <c r="N87" s="37">
        <v>86</v>
      </c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2:29" ht="17.25" thickTop="1" thickBot="1">
      <c r="B88">
        <f>wyniki!B108</f>
        <v>0</v>
      </c>
      <c r="C88" s="56">
        <f>wyniki!G108</f>
        <v>0</v>
      </c>
      <c r="D88" s="18">
        <v>8.7000000000000001E-4</v>
      </c>
      <c r="E88" s="56">
        <f t="shared" si="4"/>
        <v>8.7000000000000001E-4</v>
      </c>
      <c r="F88">
        <f>wyniki!$A$105</f>
        <v>0</v>
      </c>
      <c r="J88" s="79">
        <f t="shared" si="5"/>
        <v>0</v>
      </c>
      <c r="K88" s="69">
        <f>LARGE($E$2:$E$241,87)</f>
        <v>1.5499999999999999E-3</v>
      </c>
      <c r="L88" s="68">
        <f t="shared" si="6"/>
        <v>155</v>
      </c>
      <c r="M88" s="90">
        <f t="shared" si="7"/>
        <v>0</v>
      </c>
      <c r="N88" s="37">
        <v>87</v>
      </c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2:29" ht="17.25" thickTop="1" thickBot="1">
      <c r="B89">
        <f>wyniki!B109</f>
        <v>0</v>
      </c>
      <c r="C89" s="56">
        <f>wyniki!G109</f>
        <v>0</v>
      </c>
      <c r="D89" s="18">
        <v>8.8000000000000003E-4</v>
      </c>
      <c r="E89" s="56">
        <f t="shared" si="4"/>
        <v>8.8000000000000003E-4</v>
      </c>
      <c r="F89">
        <f>wyniki!$A$105</f>
        <v>0</v>
      </c>
      <c r="J89" s="79">
        <f t="shared" si="5"/>
        <v>0</v>
      </c>
      <c r="K89" s="69">
        <f>LARGE($E$2:$E$241,88)</f>
        <v>1.5399999999999999E-3</v>
      </c>
      <c r="L89" s="68">
        <f t="shared" si="6"/>
        <v>154</v>
      </c>
      <c r="M89" s="90">
        <f t="shared" si="7"/>
        <v>0</v>
      </c>
      <c r="N89" s="37">
        <v>88</v>
      </c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spans="2:29" ht="17.25" thickTop="1" thickBot="1">
      <c r="B90">
        <f>wyniki!B110</f>
        <v>0</v>
      </c>
      <c r="C90" s="56">
        <f>wyniki!G110</f>
        <v>0</v>
      </c>
      <c r="D90" s="18">
        <v>8.8999999999999995E-4</v>
      </c>
      <c r="E90" s="56">
        <f t="shared" si="4"/>
        <v>8.8999999999999995E-4</v>
      </c>
      <c r="F90">
        <f>wyniki!$A$105</f>
        <v>0</v>
      </c>
      <c r="J90" s="79">
        <f t="shared" si="5"/>
        <v>0</v>
      </c>
      <c r="K90" s="69">
        <f>LARGE($E$2:$E$241,89)</f>
        <v>1.5299999999999999E-3</v>
      </c>
      <c r="L90" s="68">
        <f t="shared" si="6"/>
        <v>153</v>
      </c>
      <c r="M90" s="90">
        <f t="shared" si="7"/>
        <v>0</v>
      </c>
      <c r="N90" s="37">
        <v>89</v>
      </c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2:29" ht="17.25" thickTop="1" thickBot="1">
      <c r="B91">
        <f>wyniki!B111</f>
        <v>0</v>
      </c>
      <c r="C91" s="56">
        <f>wyniki!G111</f>
        <v>0</v>
      </c>
      <c r="D91" s="18">
        <v>8.9999999999999998E-4</v>
      </c>
      <c r="E91" s="56">
        <f t="shared" si="4"/>
        <v>8.9999999999999998E-4</v>
      </c>
      <c r="F91">
        <f>wyniki!$A$105</f>
        <v>0</v>
      </c>
      <c r="J91" s="79">
        <f t="shared" si="5"/>
        <v>0</v>
      </c>
      <c r="K91" s="69">
        <f>LARGE($E$2:$E$241,90)</f>
        <v>1.5200000000000001E-3</v>
      </c>
      <c r="L91" s="68">
        <f t="shared" si="6"/>
        <v>152</v>
      </c>
      <c r="M91" s="90">
        <f t="shared" si="7"/>
        <v>0</v>
      </c>
      <c r="N91" s="37">
        <v>90</v>
      </c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2:29" ht="17.25" thickTop="1" thickBot="1">
      <c r="B92">
        <f>wyniki!B113</f>
        <v>0</v>
      </c>
      <c r="C92" s="56">
        <f>wyniki!G113</f>
        <v>0</v>
      </c>
      <c r="D92" s="18">
        <v>9.1E-4</v>
      </c>
      <c r="E92" s="56">
        <f t="shared" si="4"/>
        <v>9.1E-4</v>
      </c>
      <c r="F92">
        <f>wyniki!$A$112</f>
        <v>0</v>
      </c>
      <c r="J92" s="79">
        <f t="shared" si="5"/>
        <v>0</v>
      </c>
      <c r="K92" s="69">
        <f>LARGE($E$2:$E$241,91)</f>
        <v>1.5100000000000001E-3</v>
      </c>
      <c r="L92" s="68">
        <f t="shared" si="6"/>
        <v>151</v>
      </c>
      <c r="M92" s="90">
        <f t="shared" si="7"/>
        <v>0</v>
      </c>
      <c r="N92" s="37">
        <v>91</v>
      </c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2:29" ht="17.25" thickTop="1" thickBot="1">
      <c r="B93">
        <f>wyniki!B114</f>
        <v>0</v>
      </c>
      <c r="C93" s="56">
        <f>wyniki!G114</f>
        <v>0</v>
      </c>
      <c r="D93" s="18">
        <v>9.2000000000000003E-4</v>
      </c>
      <c r="E93" s="56">
        <f t="shared" si="4"/>
        <v>9.2000000000000003E-4</v>
      </c>
      <c r="F93">
        <f>wyniki!$A$112</f>
        <v>0</v>
      </c>
      <c r="J93" s="79">
        <f t="shared" si="5"/>
        <v>0</v>
      </c>
      <c r="K93" s="69">
        <f>LARGE($E$2:$E$241,92)</f>
        <v>1.5E-3</v>
      </c>
      <c r="L93" s="68">
        <f t="shared" si="6"/>
        <v>150</v>
      </c>
      <c r="M93" s="90">
        <f t="shared" si="7"/>
        <v>0</v>
      </c>
      <c r="N93" s="37">
        <v>92</v>
      </c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2:29" ht="17.25" thickTop="1" thickBot="1">
      <c r="B94">
        <f>wyniki!B115</f>
        <v>0</v>
      </c>
      <c r="C94" s="56">
        <f>wyniki!G115</f>
        <v>0</v>
      </c>
      <c r="D94" s="18">
        <v>9.3000000000000005E-4</v>
      </c>
      <c r="E94" s="56">
        <f t="shared" si="4"/>
        <v>9.3000000000000005E-4</v>
      </c>
      <c r="F94">
        <f>wyniki!$A$112</f>
        <v>0</v>
      </c>
      <c r="J94" s="79">
        <f t="shared" si="5"/>
        <v>0</v>
      </c>
      <c r="K94" s="69">
        <f>LARGE($E$2:$E$241,93)</f>
        <v>1.49E-3</v>
      </c>
      <c r="L94" s="68">
        <f t="shared" si="6"/>
        <v>149</v>
      </c>
      <c r="M94" s="90">
        <f t="shared" si="7"/>
        <v>0</v>
      </c>
      <c r="N94" s="37">
        <v>93</v>
      </c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</row>
    <row r="95" spans="2:29" ht="17.25" thickTop="1" thickBot="1">
      <c r="B95">
        <f>wyniki!B116</f>
        <v>0</v>
      </c>
      <c r="C95" s="56">
        <f>wyniki!G116</f>
        <v>0</v>
      </c>
      <c r="D95" s="18">
        <v>9.3999999999999997E-4</v>
      </c>
      <c r="E95" s="56">
        <f t="shared" si="4"/>
        <v>9.3999999999999997E-4</v>
      </c>
      <c r="F95">
        <f>wyniki!$A$112</f>
        <v>0</v>
      </c>
      <c r="J95" s="79">
        <f t="shared" si="5"/>
        <v>0</v>
      </c>
      <c r="K95" s="69">
        <f>LARGE($E$2:$E$241,94)</f>
        <v>1.48E-3</v>
      </c>
      <c r="L95" s="68">
        <f t="shared" si="6"/>
        <v>148</v>
      </c>
      <c r="M95" s="90">
        <f t="shared" si="7"/>
        <v>0</v>
      </c>
      <c r="N95" s="37">
        <v>94</v>
      </c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spans="2:29" ht="17.25" thickTop="1" thickBot="1">
      <c r="B96">
        <f>wyniki!B117</f>
        <v>0</v>
      </c>
      <c r="C96" s="56">
        <f>wyniki!G117</f>
        <v>0</v>
      </c>
      <c r="D96" s="18">
        <v>9.5E-4</v>
      </c>
      <c r="E96" s="56">
        <f t="shared" si="4"/>
        <v>9.5E-4</v>
      </c>
      <c r="F96">
        <f>wyniki!$A$112</f>
        <v>0</v>
      </c>
      <c r="J96" s="79">
        <f t="shared" si="5"/>
        <v>0</v>
      </c>
      <c r="K96" s="69">
        <f>LARGE($E$2:$E$241,95)</f>
        <v>1.47E-3</v>
      </c>
      <c r="L96" s="68">
        <f t="shared" si="6"/>
        <v>147</v>
      </c>
      <c r="M96" s="90">
        <f t="shared" si="7"/>
        <v>0</v>
      </c>
      <c r="N96" s="37">
        <v>95</v>
      </c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7" spans="2:29" ht="17.25" thickTop="1" thickBot="1">
      <c r="B97">
        <f>wyniki!B118</f>
        <v>0</v>
      </c>
      <c r="C97" s="56">
        <f>wyniki!G118</f>
        <v>0</v>
      </c>
      <c r="D97" s="18">
        <v>9.6000000000000002E-4</v>
      </c>
      <c r="E97" s="56">
        <f t="shared" si="4"/>
        <v>9.6000000000000002E-4</v>
      </c>
      <c r="F97">
        <f>wyniki!$A$112</f>
        <v>0</v>
      </c>
      <c r="J97" s="79">
        <f t="shared" si="5"/>
        <v>0</v>
      </c>
      <c r="K97" s="69">
        <f>LARGE($E$2:$E$241,96)</f>
        <v>1.4599999999999999E-3</v>
      </c>
      <c r="L97" s="68">
        <f t="shared" si="6"/>
        <v>146</v>
      </c>
      <c r="M97" s="90">
        <f t="shared" si="7"/>
        <v>0</v>
      </c>
      <c r="N97" s="37">
        <v>96</v>
      </c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spans="2:29" ht="17.25" thickTop="1" thickBot="1">
      <c r="B98">
        <f>wyniki!B120</f>
        <v>0</v>
      </c>
      <c r="C98" s="56">
        <f>wyniki!G120</f>
        <v>0</v>
      </c>
      <c r="D98" s="18">
        <v>9.7000000000000005E-4</v>
      </c>
      <c r="E98" s="56">
        <f t="shared" si="4"/>
        <v>9.7000000000000005E-4</v>
      </c>
      <c r="F98">
        <f>wyniki!$A$119</f>
        <v>0</v>
      </c>
      <c r="J98" s="79">
        <f t="shared" si="5"/>
        <v>0</v>
      </c>
      <c r="K98" s="69">
        <f>LARGE($E$2:$E$241,97)</f>
        <v>1.4499999999999999E-3</v>
      </c>
      <c r="L98" s="68">
        <f t="shared" si="6"/>
        <v>145</v>
      </c>
      <c r="M98" s="90">
        <f t="shared" si="7"/>
        <v>0</v>
      </c>
      <c r="N98" s="37">
        <v>97</v>
      </c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spans="2:29" ht="17.25" thickTop="1" thickBot="1">
      <c r="B99">
        <f>wyniki!B121</f>
        <v>0</v>
      </c>
      <c r="C99" s="56">
        <f>wyniki!G121</f>
        <v>0</v>
      </c>
      <c r="D99" s="18">
        <v>9.7999999999999997E-4</v>
      </c>
      <c r="E99" s="56">
        <f t="shared" si="4"/>
        <v>9.7999999999999997E-4</v>
      </c>
      <c r="F99">
        <f>wyniki!$A$119</f>
        <v>0</v>
      </c>
      <c r="J99" s="79">
        <f t="shared" si="5"/>
        <v>0</v>
      </c>
      <c r="K99" s="69">
        <f>LARGE($E$2:$E$241,98)</f>
        <v>1.4400000000000001E-3</v>
      </c>
      <c r="L99" s="68">
        <f t="shared" si="6"/>
        <v>144</v>
      </c>
      <c r="M99" s="90">
        <f t="shared" si="7"/>
        <v>0</v>
      </c>
      <c r="N99" s="37">
        <v>98</v>
      </c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2:29" ht="17.25" thickTop="1" thickBot="1">
      <c r="B100">
        <f>wyniki!B122</f>
        <v>0</v>
      </c>
      <c r="C100" s="56">
        <f>wyniki!G122</f>
        <v>0</v>
      </c>
      <c r="D100" s="18">
        <v>9.8999999999999999E-4</v>
      </c>
      <c r="E100" s="56">
        <f t="shared" si="4"/>
        <v>9.8999999999999999E-4</v>
      </c>
      <c r="F100">
        <f>wyniki!$A$119</f>
        <v>0</v>
      </c>
      <c r="J100" s="79">
        <f t="shared" si="5"/>
        <v>0</v>
      </c>
      <c r="K100" s="69">
        <f>LARGE($E$2:$E$241,99)</f>
        <v>1.4300000000000001E-3</v>
      </c>
      <c r="L100" s="68">
        <f t="shared" si="6"/>
        <v>143</v>
      </c>
      <c r="M100" s="90">
        <f t="shared" si="7"/>
        <v>0</v>
      </c>
      <c r="N100" s="37">
        <v>99</v>
      </c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</row>
    <row r="101" spans="2:29" ht="17.25" thickTop="1" thickBot="1">
      <c r="B101">
        <f>wyniki!B123</f>
        <v>0</v>
      </c>
      <c r="C101" s="56">
        <f>wyniki!G123</f>
        <v>0</v>
      </c>
      <c r="D101" s="18">
        <v>1E-3</v>
      </c>
      <c r="E101" s="56">
        <f t="shared" si="4"/>
        <v>1E-3</v>
      </c>
      <c r="F101">
        <f>wyniki!$A$119</f>
        <v>0</v>
      </c>
      <c r="J101" s="79">
        <f t="shared" si="5"/>
        <v>0</v>
      </c>
      <c r="K101" s="69">
        <f>LARGE($E$2:$E$241,100)</f>
        <v>1.42E-3</v>
      </c>
      <c r="L101" s="68">
        <f t="shared" si="6"/>
        <v>142</v>
      </c>
      <c r="M101" s="90">
        <f t="shared" si="7"/>
        <v>0</v>
      </c>
      <c r="N101" s="37">
        <v>100</v>
      </c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spans="2:29" ht="17.25" thickTop="1" thickBot="1">
      <c r="B102">
        <f>wyniki!B124</f>
        <v>0</v>
      </c>
      <c r="C102" s="56">
        <f>wyniki!G124</f>
        <v>0</v>
      </c>
      <c r="D102" s="18">
        <v>1.01E-3</v>
      </c>
      <c r="E102" s="56">
        <f t="shared" si="4"/>
        <v>1.01E-3</v>
      </c>
      <c r="F102">
        <f>wyniki!$A$119</f>
        <v>0</v>
      </c>
      <c r="J102" s="79">
        <f t="shared" si="5"/>
        <v>0</v>
      </c>
      <c r="K102" s="69">
        <f>LARGE($E$2:$E$241,101)</f>
        <v>1.41E-3</v>
      </c>
      <c r="L102" s="68">
        <f t="shared" si="6"/>
        <v>141</v>
      </c>
      <c r="M102" s="90">
        <f t="shared" si="7"/>
        <v>0</v>
      </c>
      <c r="N102" s="37">
        <v>101</v>
      </c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spans="2:29" ht="17.25" thickTop="1" thickBot="1">
      <c r="B103">
        <f>wyniki!B125</f>
        <v>0</v>
      </c>
      <c r="C103" s="56">
        <f>wyniki!G125</f>
        <v>0</v>
      </c>
      <c r="D103" s="18">
        <v>1.0200000000000001E-3</v>
      </c>
      <c r="E103" s="56">
        <f t="shared" si="4"/>
        <v>1.0200000000000001E-3</v>
      </c>
      <c r="F103">
        <f>wyniki!$A$119</f>
        <v>0</v>
      </c>
      <c r="J103" s="79">
        <f t="shared" si="5"/>
        <v>0</v>
      </c>
      <c r="K103" s="69">
        <f>LARGE($E$2:$E$241,102)</f>
        <v>1.4E-3</v>
      </c>
      <c r="L103" s="68">
        <f t="shared" si="6"/>
        <v>140</v>
      </c>
      <c r="M103" s="90">
        <f t="shared" si="7"/>
        <v>0</v>
      </c>
      <c r="N103" s="37">
        <v>102</v>
      </c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2:29" ht="17.25" thickTop="1" thickBot="1">
      <c r="B104">
        <f>wyniki!B127</f>
        <v>0</v>
      </c>
      <c r="C104" s="56">
        <f>wyniki!G127</f>
        <v>0</v>
      </c>
      <c r="D104" s="18">
        <v>1.0300000000000001E-3</v>
      </c>
      <c r="E104" s="56">
        <f t="shared" si="4"/>
        <v>1.0300000000000001E-3</v>
      </c>
      <c r="F104">
        <f>wyniki!$A$126</f>
        <v>0</v>
      </c>
      <c r="J104" s="79">
        <f t="shared" si="5"/>
        <v>0</v>
      </c>
      <c r="K104" s="69">
        <f>LARGE($E$2:$E$241,103)</f>
        <v>1.39E-3</v>
      </c>
      <c r="L104" s="68">
        <f t="shared" si="6"/>
        <v>139</v>
      </c>
      <c r="M104" s="90">
        <f t="shared" si="7"/>
        <v>0</v>
      </c>
      <c r="N104" s="37">
        <v>103</v>
      </c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spans="2:29" ht="17.25" thickTop="1" thickBot="1">
      <c r="B105">
        <f>wyniki!B128</f>
        <v>0</v>
      </c>
      <c r="C105" s="56">
        <f>wyniki!G128</f>
        <v>0</v>
      </c>
      <c r="D105" s="18">
        <v>1.0399999999999999E-3</v>
      </c>
      <c r="E105" s="56">
        <f t="shared" si="4"/>
        <v>1.0399999999999999E-3</v>
      </c>
      <c r="F105">
        <f>wyniki!$A$126</f>
        <v>0</v>
      </c>
      <c r="J105" s="79">
        <f t="shared" si="5"/>
        <v>0</v>
      </c>
      <c r="K105" s="69">
        <f>LARGE($E$2:$E$241,104)</f>
        <v>1.3799999999999999E-3</v>
      </c>
      <c r="L105" s="68">
        <f t="shared" si="6"/>
        <v>138</v>
      </c>
      <c r="M105" s="90">
        <f t="shared" si="7"/>
        <v>0</v>
      </c>
      <c r="N105" s="37">
        <v>104</v>
      </c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spans="2:29" ht="17.25" thickTop="1" thickBot="1">
      <c r="B106">
        <f>wyniki!B129</f>
        <v>0</v>
      </c>
      <c r="C106" s="56">
        <f>wyniki!G129</f>
        <v>0</v>
      </c>
      <c r="D106" s="18">
        <v>1.0499999999999999E-3</v>
      </c>
      <c r="E106" s="56">
        <f t="shared" si="4"/>
        <v>1.0499999999999999E-3</v>
      </c>
      <c r="F106">
        <f>wyniki!$A$126</f>
        <v>0</v>
      </c>
      <c r="J106" s="79">
        <f t="shared" si="5"/>
        <v>0</v>
      </c>
      <c r="K106" s="69">
        <f>LARGE($E$2:$E$241,105)</f>
        <v>1.3699999999999999E-3</v>
      </c>
      <c r="L106" s="68">
        <f t="shared" si="6"/>
        <v>137</v>
      </c>
      <c r="M106" s="90">
        <f t="shared" si="7"/>
        <v>0</v>
      </c>
      <c r="N106" s="37">
        <v>105</v>
      </c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</row>
    <row r="107" spans="2:29" ht="17.25" thickTop="1" thickBot="1">
      <c r="B107">
        <f>wyniki!B130</f>
        <v>0</v>
      </c>
      <c r="C107" s="56">
        <f>wyniki!G130</f>
        <v>0</v>
      </c>
      <c r="D107" s="18">
        <v>1.06E-3</v>
      </c>
      <c r="E107" s="56">
        <f t="shared" si="4"/>
        <v>1.06E-3</v>
      </c>
      <c r="F107">
        <f>wyniki!$A$126</f>
        <v>0</v>
      </c>
      <c r="J107" s="79">
        <f t="shared" si="5"/>
        <v>0</v>
      </c>
      <c r="K107" s="69">
        <f>LARGE($E$2:$E$241,106)</f>
        <v>1.3600000000000001E-3</v>
      </c>
      <c r="L107" s="68">
        <f t="shared" si="6"/>
        <v>136</v>
      </c>
      <c r="M107" s="90">
        <f t="shared" si="7"/>
        <v>0</v>
      </c>
      <c r="N107" s="37">
        <v>106</v>
      </c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</row>
    <row r="108" spans="2:29" ht="17.25" thickTop="1" thickBot="1">
      <c r="B108">
        <f>wyniki!B131</f>
        <v>0</v>
      </c>
      <c r="C108" s="56">
        <f>wyniki!G131</f>
        <v>0</v>
      </c>
      <c r="D108" s="18">
        <v>1.07E-3</v>
      </c>
      <c r="E108" s="56">
        <f t="shared" si="4"/>
        <v>1.07E-3</v>
      </c>
      <c r="F108">
        <f>wyniki!$A$126</f>
        <v>0</v>
      </c>
      <c r="J108" s="79">
        <f t="shared" si="5"/>
        <v>0</v>
      </c>
      <c r="K108" s="69">
        <f>LARGE($E$2:$E$241,107)</f>
        <v>1.3500000000000001E-3</v>
      </c>
      <c r="L108" s="68">
        <f t="shared" si="6"/>
        <v>135</v>
      </c>
      <c r="M108" s="90">
        <f t="shared" si="7"/>
        <v>0</v>
      </c>
      <c r="N108" s="37">
        <v>107</v>
      </c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spans="2:29" ht="17.25" thickTop="1" thickBot="1">
      <c r="B109">
        <f>wyniki!B132</f>
        <v>0</v>
      </c>
      <c r="C109" s="56">
        <f>wyniki!G132</f>
        <v>0</v>
      </c>
      <c r="D109" s="18">
        <v>1.08E-3</v>
      </c>
      <c r="E109" s="56">
        <f t="shared" si="4"/>
        <v>1.08E-3</v>
      </c>
      <c r="F109">
        <f>wyniki!$A$126</f>
        <v>0</v>
      </c>
      <c r="J109" s="79">
        <f t="shared" si="5"/>
        <v>0</v>
      </c>
      <c r="K109" s="69">
        <f>LARGE($E$2:$E$241,108)</f>
        <v>1.34E-3</v>
      </c>
      <c r="L109" s="68">
        <f t="shared" si="6"/>
        <v>134</v>
      </c>
      <c r="M109" s="90">
        <f t="shared" si="7"/>
        <v>0</v>
      </c>
      <c r="N109" s="37">
        <v>108</v>
      </c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spans="2:29" ht="17.25" thickTop="1" thickBot="1">
      <c r="B110">
        <f>wyniki!B134</f>
        <v>0</v>
      </c>
      <c r="C110" s="56">
        <f>wyniki!G134</f>
        <v>0</v>
      </c>
      <c r="D110" s="18">
        <v>1.09E-3</v>
      </c>
      <c r="E110" s="56">
        <f t="shared" si="4"/>
        <v>1.09E-3</v>
      </c>
      <c r="F110">
        <f>wyniki!$A$133</f>
        <v>0</v>
      </c>
      <c r="J110" s="79">
        <f t="shared" si="5"/>
        <v>0</v>
      </c>
      <c r="K110" s="69">
        <f>LARGE($E$2:$E$241,109)</f>
        <v>1.33E-3</v>
      </c>
      <c r="L110" s="68">
        <f t="shared" si="6"/>
        <v>133</v>
      </c>
      <c r="M110" s="90">
        <f t="shared" si="7"/>
        <v>0</v>
      </c>
      <c r="N110" s="37">
        <v>109</v>
      </c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</row>
    <row r="111" spans="2:29" ht="17.25" thickTop="1" thickBot="1">
      <c r="B111">
        <f>wyniki!B135</f>
        <v>0</v>
      </c>
      <c r="C111" s="56">
        <f>wyniki!G135</f>
        <v>0</v>
      </c>
      <c r="D111" s="18">
        <v>1.11E-2</v>
      </c>
      <c r="E111" s="56">
        <f t="shared" si="4"/>
        <v>1.11E-2</v>
      </c>
      <c r="F111">
        <f>wyniki!$A$133</f>
        <v>0</v>
      </c>
      <c r="J111" s="79">
        <f t="shared" si="5"/>
        <v>0</v>
      </c>
      <c r="K111" s="69">
        <f>LARGE($E$2:$E$241,110)</f>
        <v>1.32E-3</v>
      </c>
      <c r="L111" s="68">
        <f t="shared" si="6"/>
        <v>132</v>
      </c>
      <c r="M111" s="90">
        <f t="shared" si="7"/>
        <v>0</v>
      </c>
      <c r="N111" s="37">
        <v>110</v>
      </c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spans="2:29" ht="17.25" thickTop="1" thickBot="1">
      <c r="B112">
        <f>wyniki!B136</f>
        <v>0</v>
      </c>
      <c r="C112" s="56">
        <f>wyniki!G136</f>
        <v>0</v>
      </c>
      <c r="D112" s="18">
        <v>1.1100000000000001E-3</v>
      </c>
      <c r="E112" s="56">
        <f t="shared" si="4"/>
        <v>1.1100000000000001E-3</v>
      </c>
      <c r="F112">
        <f>wyniki!$A$133</f>
        <v>0</v>
      </c>
      <c r="J112" s="79">
        <f t="shared" si="5"/>
        <v>0</v>
      </c>
      <c r="K112" s="69">
        <f>LARGE($E$2:$E$241,111)</f>
        <v>1.31E-3</v>
      </c>
      <c r="L112" s="68">
        <f t="shared" si="6"/>
        <v>131</v>
      </c>
      <c r="M112" s="90">
        <f t="shared" si="7"/>
        <v>0</v>
      </c>
      <c r="N112" s="37">
        <v>111</v>
      </c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spans="2:29" ht="17.25" thickTop="1" thickBot="1">
      <c r="B113">
        <f>wyniki!B137</f>
        <v>0</v>
      </c>
      <c r="C113" s="56">
        <f>wyniki!G137</f>
        <v>0</v>
      </c>
      <c r="D113" s="18">
        <v>1.1199999999999999E-3</v>
      </c>
      <c r="E113" s="56">
        <f t="shared" si="4"/>
        <v>1.1199999999999999E-3</v>
      </c>
      <c r="F113">
        <f>wyniki!$A$133</f>
        <v>0</v>
      </c>
      <c r="J113" s="79">
        <f t="shared" si="5"/>
        <v>0</v>
      </c>
      <c r="K113" s="69">
        <f>LARGE($E$2:$E$241,112)</f>
        <v>1.2999999999999999E-3</v>
      </c>
      <c r="L113" s="68">
        <f t="shared" si="6"/>
        <v>130</v>
      </c>
      <c r="M113" s="90">
        <f t="shared" si="7"/>
        <v>0</v>
      </c>
      <c r="N113" s="37">
        <v>112</v>
      </c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2:29" ht="17.25" thickTop="1" thickBot="1">
      <c r="B114">
        <f>wyniki!B138</f>
        <v>0</v>
      </c>
      <c r="C114" s="56">
        <f>wyniki!G138</f>
        <v>0</v>
      </c>
      <c r="D114" s="18">
        <v>1.1299999999999999E-3</v>
      </c>
      <c r="E114" s="56">
        <f t="shared" si="4"/>
        <v>1.1299999999999999E-3</v>
      </c>
      <c r="F114">
        <f>wyniki!$A$133</f>
        <v>0</v>
      </c>
      <c r="J114" s="79">
        <f t="shared" si="5"/>
        <v>0</v>
      </c>
      <c r="K114" s="69">
        <f>LARGE($E$2:$E$241,113)</f>
        <v>1.2899999999999999E-3</v>
      </c>
      <c r="L114" s="68">
        <f t="shared" si="6"/>
        <v>129</v>
      </c>
      <c r="M114" s="90">
        <f t="shared" si="7"/>
        <v>0</v>
      </c>
      <c r="N114" s="37">
        <v>113</v>
      </c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spans="2:29" ht="17.25" thickTop="1" thickBot="1">
      <c r="B115">
        <f>wyniki!B139</f>
        <v>0</v>
      </c>
      <c r="C115" s="56">
        <f>wyniki!G139</f>
        <v>0</v>
      </c>
      <c r="D115" s="18">
        <v>1.14E-3</v>
      </c>
      <c r="E115" s="56">
        <f t="shared" si="4"/>
        <v>1.14E-3</v>
      </c>
      <c r="F115">
        <f>wyniki!$A$133</f>
        <v>0</v>
      </c>
      <c r="J115" s="79">
        <f t="shared" si="5"/>
        <v>0</v>
      </c>
      <c r="K115" s="69">
        <f>LARGE($E$2:$E$241,114)</f>
        <v>1.2800000000000001E-3</v>
      </c>
      <c r="L115" s="68">
        <f t="shared" si="6"/>
        <v>128</v>
      </c>
      <c r="M115" s="90">
        <f t="shared" si="7"/>
        <v>0</v>
      </c>
      <c r="N115" s="37">
        <v>114</v>
      </c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2:29" ht="17.25" thickTop="1" thickBot="1">
      <c r="B116">
        <f>wyniki!B141</f>
        <v>0</v>
      </c>
      <c r="C116" s="56">
        <f>wyniki!G141</f>
        <v>0</v>
      </c>
      <c r="D116" s="18">
        <v>1.15E-3</v>
      </c>
      <c r="E116" s="56">
        <f t="shared" si="4"/>
        <v>1.15E-3</v>
      </c>
      <c r="F116">
        <f>wyniki!$A$140</f>
        <v>0</v>
      </c>
      <c r="J116" s="79">
        <f t="shared" si="5"/>
        <v>0</v>
      </c>
      <c r="K116" s="69">
        <f>LARGE($E$2:$E$241,115)</f>
        <v>1.2700000000000001E-3</v>
      </c>
      <c r="L116" s="68">
        <f t="shared" si="6"/>
        <v>127</v>
      </c>
      <c r="M116" s="90">
        <f t="shared" si="7"/>
        <v>0</v>
      </c>
      <c r="N116" s="37">
        <v>115</v>
      </c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2:29" ht="17.25" thickTop="1" thickBot="1">
      <c r="B117">
        <f>wyniki!B142</f>
        <v>0</v>
      </c>
      <c r="C117" s="56">
        <f>wyniki!G142</f>
        <v>0</v>
      </c>
      <c r="D117" s="18">
        <v>1.16E-3</v>
      </c>
      <c r="E117" s="56">
        <f t="shared" si="4"/>
        <v>1.16E-3</v>
      </c>
      <c r="F117">
        <f>wyniki!$A$140</f>
        <v>0</v>
      </c>
      <c r="J117" s="79">
        <f t="shared" si="5"/>
        <v>0</v>
      </c>
      <c r="K117" s="69">
        <f>LARGE($E$2:$E$241,116)</f>
        <v>1.2600000000000001E-3</v>
      </c>
      <c r="L117" s="68">
        <f t="shared" si="6"/>
        <v>126</v>
      </c>
      <c r="M117" s="90">
        <f t="shared" si="7"/>
        <v>0</v>
      </c>
      <c r="N117" s="37">
        <v>116</v>
      </c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2:29" ht="17.25" thickTop="1" thickBot="1">
      <c r="B118">
        <f>wyniki!B143</f>
        <v>0</v>
      </c>
      <c r="C118" s="56">
        <f>wyniki!G143</f>
        <v>0</v>
      </c>
      <c r="D118" s="18">
        <v>1.17E-3</v>
      </c>
      <c r="E118" s="56">
        <f t="shared" si="4"/>
        <v>1.17E-3</v>
      </c>
      <c r="F118">
        <f>wyniki!$A$140</f>
        <v>0</v>
      </c>
      <c r="J118" s="79">
        <f t="shared" si="5"/>
        <v>0</v>
      </c>
      <c r="K118" s="69">
        <f>LARGE($E$2:$E$241,117)</f>
        <v>1.25E-3</v>
      </c>
      <c r="L118" s="68">
        <f t="shared" si="6"/>
        <v>125</v>
      </c>
      <c r="M118" s="90">
        <f t="shared" si="7"/>
        <v>0</v>
      </c>
      <c r="N118" s="37">
        <v>117</v>
      </c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</row>
    <row r="119" spans="2:29" ht="17.25" thickTop="1" thickBot="1">
      <c r="B119">
        <f>wyniki!B144</f>
        <v>0</v>
      </c>
      <c r="C119" s="56">
        <f>wyniki!G144</f>
        <v>0</v>
      </c>
      <c r="D119" s="18">
        <v>1.1800000000000001E-3</v>
      </c>
      <c r="E119" s="56">
        <f t="shared" si="4"/>
        <v>1.1800000000000001E-3</v>
      </c>
      <c r="F119">
        <f>wyniki!$A$140</f>
        <v>0</v>
      </c>
      <c r="J119" s="79">
        <f t="shared" si="5"/>
        <v>0</v>
      </c>
      <c r="K119" s="69">
        <f>LARGE($E$2:$E$241,118)</f>
        <v>1.24E-3</v>
      </c>
      <c r="L119" s="68">
        <f t="shared" si="6"/>
        <v>124</v>
      </c>
      <c r="M119" s="90">
        <f t="shared" si="7"/>
        <v>0</v>
      </c>
      <c r="N119" s="37">
        <v>118</v>
      </c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2:29" ht="17.25" thickTop="1" thickBot="1">
      <c r="B120">
        <f>wyniki!B145</f>
        <v>0</v>
      </c>
      <c r="C120" s="56">
        <f>wyniki!G145</f>
        <v>0</v>
      </c>
      <c r="D120" s="18">
        <v>1.1900000000000001E-3</v>
      </c>
      <c r="E120" s="56">
        <f t="shared" si="4"/>
        <v>1.1900000000000001E-3</v>
      </c>
      <c r="F120">
        <f>wyniki!$A$140</f>
        <v>0</v>
      </c>
      <c r="J120" s="79">
        <f t="shared" si="5"/>
        <v>0</v>
      </c>
      <c r="K120" s="69">
        <f>LARGE($E$2:$E$241,119)</f>
        <v>1.23E-3</v>
      </c>
      <c r="L120" s="68">
        <f t="shared" si="6"/>
        <v>123</v>
      </c>
      <c r="M120" s="90">
        <f t="shared" si="7"/>
        <v>0</v>
      </c>
      <c r="N120" s="37">
        <v>119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</row>
    <row r="121" spans="2:29" ht="17.25" thickTop="1" thickBot="1">
      <c r="B121">
        <f>wyniki!B146</f>
        <v>0</v>
      </c>
      <c r="C121" s="56">
        <f>wyniki!G146</f>
        <v>0</v>
      </c>
      <c r="D121" s="18">
        <v>1.1999999999999999E-3</v>
      </c>
      <c r="E121" s="56">
        <f t="shared" si="4"/>
        <v>1.1999999999999999E-3</v>
      </c>
      <c r="F121">
        <f>wyniki!$A$140</f>
        <v>0</v>
      </c>
      <c r="J121" s="79">
        <f t="shared" si="5"/>
        <v>0</v>
      </c>
      <c r="K121" s="69">
        <f>LARGE($E$2:$E$241,120)</f>
        <v>1.2199999999999999E-3</v>
      </c>
      <c r="L121" s="68">
        <f t="shared" si="6"/>
        <v>122</v>
      </c>
      <c r="M121" s="90">
        <f t="shared" si="7"/>
        <v>0</v>
      </c>
      <c r="N121" s="37">
        <v>120</v>
      </c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2:29" ht="17.25" thickTop="1" thickBot="1">
      <c r="B122">
        <f>wyniki!B148</f>
        <v>0</v>
      </c>
      <c r="C122" s="56">
        <f>wyniki!G148</f>
        <v>0</v>
      </c>
      <c r="D122" s="18">
        <v>1.2099999999999999E-3</v>
      </c>
      <c r="E122" s="56">
        <f t="shared" si="4"/>
        <v>1.2099999999999999E-3</v>
      </c>
      <c r="F122">
        <f>wyniki!$A$147</f>
        <v>0</v>
      </c>
      <c r="J122" s="79">
        <f t="shared" si="5"/>
        <v>0</v>
      </c>
      <c r="K122" s="69">
        <f>LARGE($E$2:$E$241,121)</f>
        <v>1.2099999999999999E-3</v>
      </c>
      <c r="L122" s="68">
        <f t="shared" si="6"/>
        <v>121</v>
      </c>
      <c r="M122" s="90">
        <f t="shared" si="7"/>
        <v>0</v>
      </c>
      <c r="N122" s="37">
        <v>121</v>
      </c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spans="2:29" ht="17.25" thickTop="1" thickBot="1">
      <c r="B123">
        <f>wyniki!B149</f>
        <v>0</v>
      </c>
      <c r="C123" s="56">
        <f>wyniki!G149</f>
        <v>0</v>
      </c>
      <c r="D123" s="18">
        <v>1.2199999999999999E-3</v>
      </c>
      <c r="E123" s="56">
        <f t="shared" si="4"/>
        <v>1.2199999999999999E-3</v>
      </c>
      <c r="F123">
        <f>wyniki!$A$147</f>
        <v>0</v>
      </c>
      <c r="J123" s="79">
        <f t="shared" si="5"/>
        <v>0</v>
      </c>
      <c r="K123" s="69">
        <f>LARGE($E$2:$E$241,122)</f>
        <v>1.1999999999999999E-3</v>
      </c>
      <c r="L123" s="68">
        <f t="shared" si="6"/>
        <v>120</v>
      </c>
      <c r="M123" s="90">
        <f t="shared" si="7"/>
        <v>0</v>
      </c>
      <c r="N123" s="37">
        <v>122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2:29" ht="17.25" thickTop="1" thickBot="1">
      <c r="B124">
        <f>wyniki!B150</f>
        <v>0</v>
      </c>
      <c r="C124" s="56">
        <f>wyniki!G150</f>
        <v>0</v>
      </c>
      <c r="D124" s="18">
        <v>1.23E-3</v>
      </c>
      <c r="E124" s="56">
        <f t="shared" si="4"/>
        <v>1.23E-3</v>
      </c>
      <c r="F124">
        <f>wyniki!$A$147</f>
        <v>0</v>
      </c>
      <c r="J124" s="79">
        <f t="shared" si="5"/>
        <v>0</v>
      </c>
      <c r="K124" s="69">
        <f>LARGE($E$2:$E$241,123)</f>
        <v>1.1900000000000001E-3</v>
      </c>
      <c r="L124" s="68">
        <f t="shared" si="6"/>
        <v>119</v>
      </c>
      <c r="M124" s="90">
        <f t="shared" si="7"/>
        <v>0</v>
      </c>
      <c r="N124" s="37">
        <v>123</v>
      </c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spans="2:29" ht="17.25" thickTop="1" thickBot="1">
      <c r="B125">
        <f>wyniki!B151</f>
        <v>0</v>
      </c>
      <c r="C125" s="56">
        <f>wyniki!G151</f>
        <v>0</v>
      </c>
      <c r="D125" s="18">
        <v>1.24E-3</v>
      </c>
      <c r="E125" s="56">
        <f t="shared" si="4"/>
        <v>1.24E-3</v>
      </c>
      <c r="F125">
        <f>wyniki!$A$147</f>
        <v>0</v>
      </c>
      <c r="J125" s="79">
        <f t="shared" si="5"/>
        <v>0</v>
      </c>
      <c r="K125" s="69">
        <f>LARGE($E$2:$E$241,124)</f>
        <v>1.1800000000000001E-3</v>
      </c>
      <c r="L125" s="68">
        <f t="shared" si="6"/>
        <v>118</v>
      </c>
      <c r="M125" s="90">
        <f t="shared" si="7"/>
        <v>0</v>
      </c>
      <c r="N125" s="37">
        <v>124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2:29" ht="17.25" thickTop="1" thickBot="1">
      <c r="B126">
        <f>wyniki!B152</f>
        <v>0</v>
      </c>
      <c r="C126" s="56">
        <f>wyniki!G152</f>
        <v>0</v>
      </c>
      <c r="D126" s="18">
        <v>1.25E-3</v>
      </c>
      <c r="E126" s="56">
        <f t="shared" si="4"/>
        <v>1.25E-3</v>
      </c>
      <c r="F126">
        <f>wyniki!$A$147</f>
        <v>0</v>
      </c>
      <c r="J126" s="79">
        <f t="shared" si="5"/>
        <v>0</v>
      </c>
      <c r="K126" s="69">
        <f>LARGE($E$2:$E$241,125)</f>
        <v>1.17E-3</v>
      </c>
      <c r="L126" s="68">
        <f t="shared" si="6"/>
        <v>117</v>
      </c>
      <c r="M126" s="90">
        <f t="shared" si="7"/>
        <v>0</v>
      </c>
      <c r="N126" s="37">
        <v>125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2:29" ht="17.25" thickTop="1" thickBot="1">
      <c r="B127">
        <f>wyniki!B153</f>
        <v>0</v>
      </c>
      <c r="C127" s="56">
        <f>wyniki!G153</f>
        <v>0</v>
      </c>
      <c r="D127" s="18">
        <v>1.2600000000000001E-3</v>
      </c>
      <c r="E127" s="56">
        <f t="shared" si="4"/>
        <v>1.2600000000000001E-3</v>
      </c>
      <c r="F127">
        <f>wyniki!$A$147</f>
        <v>0</v>
      </c>
      <c r="J127" s="79">
        <f t="shared" si="5"/>
        <v>0</v>
      </c>
      <c r="K127" s="69">
        <f>LARGE($E$2:$E$241,126)</f>
        <v>1.16E-3</v>
      </c>
      <c r="L127" s="68">
        <f t="shared" si="6"/>
        <v>116</v>
      </c>
      <c r="M127" s="90">
        <f t="shared" si="7"/>
        <v>0</v>
      </c>
      <c r="N127" s="37">
        <v>126</v>
      </c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2:29" ht="17.25" thickTop="1" thickBot="1">
      <c r="B128">
        <f>wyniki!B155</f>
        <v>0</v>
      </c>
      <c r="C128" s="56">
        <f>wyniki!G155</f>
        <v>0</v>
      </c>
      <c r="D128" s="18">
        <v>1.2700000000000001E-3</v>
      </c>
      <c r="E128" s="56">
        <f t="shared" si="4"/>
        <v>1.2700000000000001E-3</v>
      </c>
      <c r="F128">
        <f>wyniki!$A$154</f>
        <v>0</v>
      </c>
      <c r="J128" s="79">
        <f t="shared" si="5"/>
        <v>0</v>
      </c>
      <c r="K128" s="69">
        <f>LARGE($E$2:$E$241,127)</f>
        <v>1.15E-3</v>
      </c>
      <c r="L128" s="68">
        <f t="shared" si="6"/>
        <v>115</v>
      </c>
      <c r="M128" s="90">
        <f t="shared" si="7"/>
        <v>0</v>
      </c>
      <c r="N128" s="37">
        <v>127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2:29" ht="17.25" thickTop="1" thickBot="1">
      <c r="B129">
        <f>wyniki!B156</f>
        <v>0</v>
      </c>
      <c r="C129" s="56">
        <f>wyniki!G156</f>
        <v>0</v>
      </c>
      <c r="D129" s="18">
        <v>1.2800000000000001E-3</v>
      </c>
      <c r="E129" s="56">
        <f t="shared" si="4"/>
        <v>1.2800000000000001E-3</v>
      </c>
      <c r="F129">
        <f>wyniki!$A$154</f>
        <v>0</v>
      </c>
      <c r="J129" s="79">
        <f t="shared" si="5"/>
        <v>0</v>
      </c>
      <c r="K129" s="69">
        <f>LARGE($E$2:$E$241,128)</f>
        <v>1.14E-3</v>
      </c>
      <c r="L129" s="68">
        <f t="shared" si="6"/>
        <v>114</v>
      </c>
      <c r="M129" s="90">
        <f t="shared" si="7"/>
        <v>0</v>
      </c>
      <c r="N129" s="37">
        <v>128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2:29" ht="17.25" thickTop="1" thickBot="1">
      <c r="B130">
        <f>wyniki!B157</f>
        <v>0</v>
      </c>
      <c r="C130" s="56">
        <f>wyniki!G157</f>
        <v>0</v>
      </c>
      <c r="D130" s="18">
        <v>1.2899999999999999E-3</v>
      </c>
      <c r="E130" s="56">
        <f t="shared" si="4"/>
        <v>1.2899999999999999E-3</v>
      </c>
      <c r="F130">
        <f>wyniki!$A$154</f>
        <v>0</v>
      </c>
      <c r="J130" s="79">
        <f t="shared" si="5"/>
        <v>0</v>
      </c>
      <c r="K130" s="69">
        <f>LARGE($E$2:$E$241,129)</f>
        <v>1.1299999999999999E-3</v>
      </c>
      <c r="L130" s="68">
        <f t="shared" si="6"/>
        <v>113</v>
      </c>
      <c r="M130" s="90">
        <f t="shared" si="7"/>
        <v>0</v>
      </c>
      <c r="N130" s="37">
        <v>129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spans="2:29" ht="17.25" thickTop="1" thickBot="1">
      <c r="B131">
        <f>wyniki!B158</f>
        <v>0</v>
      </c>
      <c r="C131" s="56">
        <f>wyniki!G158</f>
        <v>0</v>
      </c>
      <c r="D131" s="18">
        <v>1.2999999999999999E-3</v>
      </c>
      <c r="E131" s="56">
        <f t="shared" ref="E131:E194" si="8">C131+D131</f>
        <v>1.2999999999999999E-3</v>
      </c>
      <c r="F131">
        <f>wyniki!$A$154</f>
        <v>0</v>
      </c>
      <c r="J131" s="79">
        <f t="shared" ref="J131:J194" si="9">INDEX($B$2:$E$241,L131,1)</f>
        <v>0</v>
      </c>
      <c r="K131" s="69">
        <f>LARGE($E$2:$E$241,130)</f>
        <v>1.1199999999999999E-3</v>
      </c>
      <c r="L131" s="68">
        <f t="shared" ref="L131:L194" si="10">MATCH(K131,$E$2:$E$241,0)</f>
        <v>112</v>
      </c>
      <c r="M131" s="90">
        <f t="shared" ref="M131:M194" si="11">INDEX($E$2:$F$241,L131,2)</f>
        <v>0</v>
      </c>
      <c r="N131" s="37">
        <v>130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spans="2:29" ht="17.25" thickTop="1" thickBot="1">
      <c r="B132">
        <f>wyniki!B159</f>
        <v>0</v>
      </c>
      <c r="C132" s="56">
        <f>wyniki!G159</f>
        <v>0</v>
      </c>
      <c r="D132" s="18">
        <v>1.31E-3</v>
      </c>
      <c r="E132" s="56">
        <f t="shared" si="8"/>
        <v>1.31E-3</v>
      </c>
      <c r="F132">
        <f>wyniki!$A$154</f>
        <v>0</v>
      </c>
      <c r="J132" s="79">
        <f t="shared" si="9"/>
        <v>0</v>
      </c>
      <c r="K132" s="69">
        <f>LARGE($E$2:$E$241,131)</f>
        <v>1.1100000000000001E-3</v>
      </c>
      <c r="L132" s="68">
        <f t="shared" si="10"/>
        <v>111</v>
      </c>
      <c r="M132" s="90">
        <f t="shared" si="11"/>
        <v>0</v>
      </c>
      <c r="N132" s="37">
        <v>131</v>
      </c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</row>
    <row r="133" spans="2:29" ht="17.25" thickTop="1" thickBot="1">
      <c r="B133">
        <f>wyniki!B160</f>
        <v>0</v>
      </c>
      <c r="C133" s="56">
        <f>wyniki!G160</f>
        <v>0</v>
      </c>
      <c r="D133" s="18">
        <v>1.32E-3</v>
      </c>
      <c r="E133" s="56">
        <f t="shared" si="8"/>
        <v>1.32E-3</v>
      </c>
      <c r="F133">
        <f>wyniki!$A$154</f>
        <v>0</v>
      </c>
      <c r="J133" s="79">
        <f t="shared" si="9"/>
        <v>0</v>
      </c>
      <c r="K133" s="69">
        <f>LARGE($E$2:$E$241,132)</f>
        <v>1.09E-3</v>
      </c>
      <c r="L133" s="68">
        <f t="shared" si="10"/>
        <v>109</v>
      </c>
      <c r="M133" s="90">
        <f t="shared" si="11"/>
        <v>0</v>
      </c>
      <c r="N133" s="37">
        <v>132</v>
      </c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2:29" ht="17.25" thickTop="1" thickBot="1">
      <c r="B134">
        <f>wyniki!B162</f>
        <v>0</v>
      </c>
      <c r="C134" s="56">
        <f>wyniki!G162</f>
        <v>0</v>
      </c>
      <c r="D134" s="18">
        <v>1.33E-3</v>
      </c>
      <c r="E134" s="56">
        <f t="shared" si="8"/>
        <v>1.33E-3</v>
      </c>
      <c r="F134">
        <f>wyniki!$A$161</f>
        <v>0</v>
      </c>
      <c r="J134" s="79">
        <f t="shared" si="9"/>
        <v>0</v>
      </c>
      <c r="K134" s="69">
        <f>LARGE($E$2:$E$241,133)</f>
        <v>1.08E-3</v>
      </c>
      <c r="L134" s="68">
        <f t="shared" si="10"/>
        <v>108</v>
      </c>
      <c r="M134" s="90">
        <f t="shared" si="11"/>
        <v>0</v>
      </c>
      <c r="N134" s="37">
        <v>133</v>
      </c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</row>
    <row r="135" spans="2:29" ht="17.25" thickTop="1" thickBot="1">
      <c r="B135">
        <f>wyniki!B163</f>
        <v>0</v>
      </c>
      <c r="C135" s="56">
        <f>wyniki!G163</f>
        <v>0</v>
      </c>
      <c r="D135" s="18">
        <v>1.34E-3</v>
      </c>
      <c r="E135" s="56">
        <f t="shared" si="8"/>
        <v>1.34E-3</v>
      </c>
      <c r="F135">
        <f>wyniki!$A$161</f>
        <v>0</v>
      </c>
      <c r="J135" s="79">
        <f t="shared" si="9"/>
        <v>0</v>
      </c>
      <c r="K135" s="69">
        <f>LARGE($E$2:$E$241,134)</f>
        <v>1.07E-3</v>
      </c>
      <c r="L135" s="68">
        <f t="shared" si="10"/>
        <v>107</v>
      </c>
      <c r="M135" s="90">
        <f t="shared" si="11"/>
        <v>0</v>
      </c>
      <c r="N135" s="37">
        <v>134</v>
      </c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2:29" ht="17.25" thickTop="1" thickBot="1">
      <c r="B136">
        <f>wyniki!B164</f>
        <v>0</v>
      </c>
      <c r="C136" s="56">
        <f>wyniki!G164</f>
        <v>0</v>
      </c>
      <c r="D136" s="18">
        <v>1.3500000000000001E-3</v>
      </c>
      <c r="E136" s="56">
        <f t="shared" si="8"/>
        <v>1.3500000000000001E-3</v>
      </c>
      <c r="F136">
        <f>wyniki!$A$161</f>
        <v>0</v>
      </c>
      <c r="J136" s="79">
        <f t="shared" si="9"/>
        <v>0</v>
      </c>
      <c r="K136" s="69">
        <f>LARGE($E$2:$E$241,135)</f>
        <v>1.06E-3</v>
      </c>
      <c r="L136" s="68">
        <f t="shared" si="10"/>
        <v>106</v>
      </c>
      <c r="M136" s="90">
        <f t="shared" si="11"/>
        <v>0</v>
      </c>
      <c r="N136" s="37">
        <v>135</v>
      </c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</row>
    <row r="137" spans="2:29" ht="17.25" thickTop="1" thickBot="1">
      <c r="B137">
        <f>wyniki!B165</f>
        <v>0</v>
      </c>
      <c r="C137" s="56">
        <f>wyniki!G165</f>
        <v>0</v>
      </c>
      <c r="D137" s="18">
        <v>1.3600000000000001E-3</v>
      </c>
      <c r="E137" s="56">
        <f t="shared" si="8"/>
        <v>1.3600000000000001E-3</v>
      </c>
      <c r="F137">
        <f>wyniki!$A$161</f>
        <v>0</v>
      </c>
      <c r="J137" s="79">
        <f t="shared" si="9"/>
        <v>0</v>
      </c>
      <c r="K137" s="69">
        <f>LARGE($E$2:$E$241,136)</f>
        <v>1.0499999999999999E-3</v>
      </c>
      <c r="L137" s="68">
        <f t="shared" si="10"/>
        <v>105</v>
      </c>
      <c r="M137" s="90">
        <f t="shared" si="11"/>
        <v>0</v>
      </c>
      <c r="N137" s="37">
        <v>136</v>
      </c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spans="2:29" ht="17.25" thickTop="1" thickBot="1">
      <c r="B138">
        <f>wyniki!B166</f>
        <v>0</v>
      </c>
      <c r="C138" s="56">
        <f>wyniki!G166</f>
        <v>0</v>
      </c>
      <c r="D138" s="18">
        <v>1.3699999999999999E-3</v>
      </c>
      <c r="E138" s="56">
        <f t="shared" si="8"/>
        <v>1.3699999999999999E-3</v>
      </c>
      <c r="F138">
        <f>wyniki!$A$161</f>
        <v>0</v>
      </c>
      <c r="J138" s="79">
        <f t="shared" si="9"/>
        <v>0</v>
      </c>
      <c r="K138" s="69">
        <f>LARGE($E$2:$E$241,137)</f>
        <v>1.0399999999999999E-3</v>
      </c>
      <c r="L138" s="68">
        <f t="shared" si="10"/>
        <v>104</v>
      </c>
      <c r="M138" s="90">
        <f t="shared" si="11"/>
        <v>0</v>
      </c>
      <c r="N138" s="37">
        <v>137</v>
      </c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</row>
    <row r="139" spans="2:29" ht="17.25" thickTop="1" thickBot="1">
      <c r="B139">
        <f>wyniki!B167</f>
        <v>0</v>
      </c>
      <c r="C139" s="56">
        <f>wyniki!G167</f>
        <v>0</v>
      </c>
      <c r="D139" s="18">
        <v>1.3799999999999999E-3</v>
      </c>
      <c r="E139" s="56">
        <f t="shared" si="8"/>
        <v>1.3799999999999999E-3</v>
      </c>
      <c r="F139">
        <f>wyniki!$A$161</f>
        <v>0</v>
      </c>
      <c r="J139" s="79">
        <f t="shared" si="9"/>
        <v>0</v>
      </c>
      <c r="K139" s="69">
        <f>LARGE($E$2:$E$241,138)</f>
        <v>1.0300000000000001E-3</v>
      </c>
      <c r="L139" s="68">
        <f t="shared" si="10"/>
        <v>103</v>
      </c>
      <c r="M139" s="90">
        <f t="shared" si="11"/>
        <v>0</v>
      </c>
      <c r="N139" s="37">
        <v>138</v>
      </c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2:29" ht="17.25" thickTop="1" thickBot="1">
      <c r="B140">
        <f>wyniki!B169</f>
        <v>0</v>
      </c>
      <c r="C140" s="56">
        <f>wyniki!G169</f>
        <v>0</v>
      </c>
      <c r="D140" s="18">
        <v>1.39E-3</v>
      </c>
      <c r="E140" s="56">
        <f t="shared" si="8"/>
        <v>1.39E-3</v>
      </c>
      <c r="F140">
        <f>wyniki!$A$168</f>
        <v>0</v>
      </c>
      <c r="J140" s="79">
        <f t="shared" si="9"/>
        <v>0</v>
      </c>
      <c r="K140" s="69">
        <f>LARGE($E$2:$E$241,139)</f>
        <v>1.0200000000000001E-3</v>
      </c>
      <c r="L140" s="68">
        <f t="shared" si="10"/>
        <v>102</v>
      </c>
      <c r="M140" s="90">
        <f t="shared" si="11"/>
        <v>0</v>
      </c>
      <c r="N140" s="37">
        <v>139</v>
      </c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</row>
    <row r="141" spans="2:29" ht="17.25" thickTop="1" thickBot="1">
      <c r="B141">
        <f>wyniki!B170</f>
        <v>0</v>
      </c>
      <c r="C141" s="56">
        <f>wyniki!G170</f>
        <v>0</v>
      </c>
      <c r="D141" s="18">
        <v>1.4E-3</v>
      </c>
      <c r="E141" s="56">
        <f t="shared" si="8"/>
        <v>1.4E-3</v>
      </c>
      <c r="F141">
        <f>wyniki!$A$168</f>
        <v>0</v>
      </c>
      <c r="J141" s="79">
        <f t="shared" si="9"/>
        <v>0</v>
      </c>
      <c r="K141" s="69">
        <f>LARGE($E$2:$E$241,140)</f>
        <v>1.01E-3</v>
      </c>
      <c r="L141" s="68">
        <f t="shared" si="10"/>
        <v>101</v>
      </c>
      <c r="M141" s="90">
        <f t="shared" si="11"/>
        <v>0</v>
      </c>
      <c r="N141" s="37">
        <v>140</v>
      </c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2:29" ht="17.25" thickTop="1" thickBot="1">
      <c r="B142">
        <f>wyniki!B171</f>
        <v>0</v>
      </c>
      <c r="C142" s="56">
        <f>wyniki!G171</f>
        <v>0</v>
      </c>
      <c r="D142" s="18">
        <v>1.41E-3</v>
      </c>
      <c r="E142" s="56">
        <f t="shared" si="8"/>
        <v>1.41E-3</v>
      </c>
      <c r="F142">
        <f>wyniki!$A$168</f>
        <v>0</v>
      </c>
      <c r="J142" s="79">
        <f t="shared" si="9"/>
        <v>0</v>
      </c>
      <c r="K142" s="69">
        <f>LARGE($E$2:$E$241,141)</f>
        <v>1E-3</v>
      </c>
      <c r="L142" s="68">
        <f t="shared" si="10"/>
        <v>100</v>
      </c>
      <c r="M142" s="90">
        <f t="shared" si="11"/>
        <v>0</v>
      </c>
      <c r="N142" s="37">
        <v>141</v>
      </c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</row>
    <row r="143" spans="2:29" ht="17.25" thickTop="1" thickBot="1">
      <c r="B143">
        <f>wyniki!B172</f>
        <v>0</v>
      </c>
      <c r="C143" s="56">
        <f>wyniki!G172</f>
        <v>0</v>
      </c>
      <c r="D143" s="18">
        <v>1.42E-3</v>
      </c>
      <c r="E143" s="56">
        <f t="shared" si="8"/>
        <v>1.42E-3</v>
      </c>
      <c r="F143">
        <f>wyniki!$A$168</f>
        <v>0</v>
      </c>
      <c r="J143" s="79">
        <f t="shared" si="9"/>
        <v>0</v>
      </c>
      <c r="K143" s="69">
        <f>LARGE($E$2:$E$241,142)</f>
        <v>9.8999999999999999E-4</v>
      </c>
      <c r="L143" s="68">
        <f t="shared" si="10"/>
        <v>99</v>
      </c>
      <c r="M143" s="90">
        <f t="shared" si="11"/>
        <v>0</v>
      </c>
      <c r="N143" s="37">
        <v>142</v>
      </c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2:29" ht="17.25" thickTop="1" thickBot="1">
      <c r="B144">
        <f>wyniki!B173</f>
        <v>0</v>
      </c>
      <c r="C144" s="56">
        <f>wyniki!G173</f>
        <v>0</v>
      </c>
      <c r="D144" s="18">
        <v>1.4300000000000001E-3</v>
      </c>
      <c r="E144" s="56">
        <f t="shared" si="8"/>
        <v>1.4300000000000001E-3</v>
      </c>
      <c r="F144">
        <f>wyniki!$A$168</f>
        <v>0</v>
      </c>
      <c r="J144" s="79">
        <f t="shared" si="9"/>
        <v>0</v>
      </c>
      <c r="K144" s="69">
        <f>LARGE($E$2:$E$241,143)</f>
        <v>9.7999999999999997E-4</v>
      </c>
      <c r="L144" s="68">
        <f t="shared" si="10"/>
        <v>98</v>
      </c>
      <c r="M144" s="90">
        <f t="shared" si="11"/>
        <v>0</v>
      </c>
      <c r="N144" s="37">
        <v>143</v>
      </c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</row>
    <row r="145" spans="2:29" ht="17.25" thickTop="1" thickBot="1">
      <c r="B145">
        <f>wyniki!B174</f>
        <v>0</v>
      </c>
      <c r="C145" s="56">
        <f>wyniki!G174</f>
        <v>0</v>
      </c>
      <c r="D145" s="18">
        <v>1.4400000000000001E-3</v>
      </c>
      <c r="E145" s="56">
        <f t="shared" si="8"/>
        <v>1.4400000000000001E-3</v>
      </c>
      <c r="F145">
        <f>wyniki!$A$168</f>
        <v>0</v>
      </c>
      <c r="J145" s="79">
        <f t="shared" si="9"/>
        <v>0</v>
      </c>
      <c r="K145" s="69">
        <f>LARGE($E$2:$E$241,144)</f>
        <v>9.7000000000000005E-4</v>
      </c>
      <c r="L145" s="68">
        <f t="shared" si="10"/>
        <v>97</v>
      </c>
      <c r="M145" s="90">
        <f t="shared" si="11"/>
        <v>0</v>
      </c>
      <c r="N145" s="37">
        <v>144</v>
      </c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2:29" ht="17.25" thickTop="1" thickBot="1">
      <c r="B146">
        <f>wyniki!B176</f>
        <v>0</v>
      </c>
      <c r="C146" s="56">
        <f>wyniki!G176</f>
        <v>0</v>
      </c>
      <c r="D146" s="18">
        <v>1.4499999999999999E-3</v>
      </c>
      <c r="E146" s="56">
        <f t="shared" si="8"/>
        <v>1.4499999999999999E-3</v>
      </c>
      <c r="F146">
        <f>wyniki!$A$175</f>
        <v>0</v>
      </c>
      <c r="J146" s="79">
        <f t="shared" si="9"/>
        <v>0</v>
      </c>
      <c r="K146" s="69">
        <f>LARGE($E$2:$E$241,145)</f>
        <v>9.6000000000000002E-4</v>
      </c>
      <c r="L146" s="68">
        <f t="shared" si="10"/>
        <v>96</v>
      </c>
      <c r="M146" s="90">
        <f t="shared" si="11"/>
        <v>0</v>
      </c>
      <c r="N146" s="37">
        <v>145</v>
      </c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</row>
    <row r="147" spans="2:29" ht="17.25" thickTop="1" thickBot="1">
      <c r="B147">
        <f>wyniki!B177</f>
        <v>0</v>
      </c>
      <c r="C147" s="56">
        <f>wyniki!G177</f>
        <v>0</v>
      </c>
      <c r="D147" s="18">
        <v>1.4599999999999999E-3</v>
      </c>
      <c r="E147" s="56">
        <f t="shared" si="8"/>
        <v>1.4599999999999999E-3</v>
      </c>
      <c r="F147">
        <f>wyniki!$A$175</f>
        <v>0</v>
      </c>
      <c r="J147" s="79">
        <f t="shared" si="9"/>
        <v>0</v>
      </c>
      <c r="K147" s="69">
        <f>LARGE($E$2:$E$241,146)</f>
        <v>9.5E-4</v>
      </c>
      <c r="L147" s="68">
        <f t="shared" si="10"/>
        <v>95</v>
      </c>
      <c r="M147" s="90">
        <f t="shared" si="11"/>
        <v>0</v>
      </c>
      <c r="N147" s="37">
        <v>146</v>
      </c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</row>
    <row r="148" spans="2:29" ht="17.25" thickTop="1" thickBot="1">
      <c r="B148">
        <f>wyniki!B178</f>
        <v>0</v>
      </c>
      <c r="C148" s="56">
        <f>wyniki!G178</f>
        <v>0</v>
      </c>
      <c r="D148" s="18">
        <v>1.47E-3</v>
      </c>
      <c r="E148" s="56">
        <f t="shared" si="8"/>
        <v>1.47E-3</v>
      </c>
      <c r="F148">
        <f>wyniki!$A$175</f>
        <v>0</v>
      </c>
      <c r="J148" s="79">
        <f t="shared" si="9"/>
        <v>0</v>
      </c>
      <c r="K148" s="69">
        <f>LARGE($E$2:$E$241,147)</f>
        <v>9.3999999999999997E-4</v>
      </c>
      <c r="L148" s="68">
        <f t="shared" si="10"/>
        <v>94</v>
      </c>
      <c r="M148" s="90">
        <f t="shared" si="11"/>
        <v>0</v>
      </c>
      <c r="N148" s="37">
        <v>147</v>
      </c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</row>
    <row r="149" spans="2:29" ht="17.25" thickTop="1" thickBot="1">
      <c r="B149">
        <f>wyniki!B179</f>
        <v>0</v>
      </c>
      <c r="C149" s="56">
        <f>wyniki!G179</f>
        <v>0</v>
      </c>
      <c r="D149" s="18">
        <v>1.48E-3</v>
      </c>
      <c r="E149" s="56">
        <f t="shared" si="8"/>
        <v>1.48E-3</v>
      </c>
      <c r="F149">
        <f>wyniki!$A$175</f>
        <v>0</v>
      </c>
      <c r="J149" s="79">
        <f t="shared" si="9"/>
        <v>0</v>
      </c>
      <c r="K149" s="69">
        <f>LARGE($E$2:$E$241,148)</f>
        <v>9.3000000000000005E-4</v>
      </c>
      <c r="L149" s="68">
        <f t="shared" si="10"/>
        <v>93</v>
      </c>
      <c r="M149" s="90">
        <f t="shared" si="11"/>
        <v>0</v>
      </c>
      <c r="N149" s="37">
        <v>148</v>
      </c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</row>
    <row r="150" spans="2:29" ht="17.25" thickTop="1" thickBot="1">
      <c r="B150">
        <f>wyniki!B180</f>
        <v>0</v>
      </c>
      <c r="C150" s="56">
        <f>wyniki!G180</f>
        <v>0</v>
      </c>
      <c r="D150" s="18">
        <v>1.49E-3</v>
      </c>
      <c r="E150" s="56">
        <f t="shared" si="8"/>
        <v>1.49E-3</v>
      </c>
      <c r="F150">
        <f>wyniki!$A$175</f>
        <v>0</v>
      </c>
      <c r="J150" s="79">
        <f t="shared" si="9"/>
        <v>0</v>
      </c>
      <c r="K150" s="69">
        <f>LARGE($E$2:$E$241,149)</f>
        <v>9.2000000000000003E-4</v>
      </c>
      <c r="L150" s="68">
        <f t="shared" si="10"/>
        <v>92</v>
      </c>
      <c r="M150" s="90">
        <f t="shared" si="11"/>
        <v>0</v>
      </c>
      <c r="N150" s="37">
        <v>149</v>
      </c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</row>
    <row r="151" spans="2:29" ht="17.25" thickTop="1" thickBot="1">
      <c r="B151">
        <f>wyniki!B181</f>
        <v>0</v>
      </c>
      <c r="C151" s="56">
        <f>wyniki!G181</f>
        <v>0</v>
      </c>
      <c r="D151" s="18">
        <v>1.5E-3</v>
      </c>
      <c r="E151" s="56">
        <f t="shared" si="8"/>
        <v>1.5E-3</v>
      </c>
      <c r="F151">
        <f>wyniki!$A$175</f>
        <v>0</v>
      </c>
      <c r="J151" s="79">
        <f t="shared" si="9"/>
        <v>0</v>
      </c>
      <c r="K151" s="69">
        <f>LARGE($E$2:$E$241,150)</f>
        <v>9.1E-4</v>
      </c>
      <c r="L151" s="68">
        <f t="shared" si="10"/>
        <v>91</v>
      </c>
      <c r="M151" s="90">
        <f t="shared" si="11"/>
        <v>0</v>
      </c>
      <c r="N151" s="37">
        <v>150</v>
      </c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</row>
    <row r="152" spans="2:29" ht="17.25" thickTop="1" thickBot="1">
      <c r="B152">
        <f>wyniki!B183</f>
        <v>0</v>
      </c>
      <c r="C152" s="56">
        <f>wyniki!G183</f>
        <v>0</v>
      </c>
      <c r="D152" s="18">
        <v>1.5100000000000001E-3</v>
      </c>
      <c r="E152" s="56">
        <f t="shared" si="8"/>
        <v>1.5100000000000001E-3</v>
      </c>
      <c r="F152">
        <f>wyniki!$A$182</f>
        <v>0</v>
      </c>
      <c r="J152" s="79">
        <f t="shared" si="9"/>
        <v>0</v>
      </c>
      <c r="K152" s="69">
        <f>LARGE($E$2:$E$241,151)</f>
        <v>8.9999999999999998E-4</v>
      </c>
      <c r="L152" s="68">
        <f t="shared" si="10"/>
        <v>90</v>
      </c>
      <c r="M152" s="90">
        <f t="shared" si="11"/>
        <v>0</v>
      </c>
      <c r="N152" s="37">
        <v>151</v>
      </c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</row>
    <row r="153" spans="2:29" ht="17.25" thickTop="1" thickBot="1">
      <c r="B153">
        <f>wyniki!B184</f>
        <v>0</v>
      </c>
      <c r="C153" s="56">
        <f>wyniki!G184</f>
        <v>0</v>
      </c>
      <c r="D153" s="18">
        <v>1.5200000000000001E-3</v>
      </c>
      <c r="E153" s="56">
        <f t="shared" si="8"/>
        <v>1.5200000000000001E-3</v>
      </c>
      <c r="F153">
        <f>wyniki!$A$182</f>
        <v>0</v>
      </c>
      <c r="J153" s="79">
        <f t="shared" si="9"/>
        <v>0</v>
      </c>
      <c r="K153" s="69">
        <f>LARGE($E$2:$E$241,152)</f>
        <v>8.8999999999999995E-4</v>
      </c>
      <c r="L153" s="68">
        <f t="shared" si="10"/>
        <v>89</v>
      </c>
      <c r="M153" s="90">
        <f t="shared" si="11"/>
        <v>0</v>
      </c>
      <c r="N153" s="37">
        <v>152</v>
      </c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</row>
    <row r="154" spans="2:29" ht="17.25" thickTop="1" thickBot="1">
      <c r="B154">
        <f>wyniki!B185</f>
        <v>0</v>
      </c>
      <c r="C154" s="56">
        <f>wyniki!G185</f>
        <v>0</v>
      </c>
      <c r="D154" s="18">
        <v>1.5299999999999999E-3</v>
      </c>
      <c r="E154" s="56">
        <f t="shared" si="8"/>
        <v>1.5299999999999999E-3</v>
      </c>
      <c r="F154">
        <f>wyniki!$A$182</f>
        <v>0</v>
      </c>
      <c r="J154" s="79">
        <f t="shared" si="9"/>
        <v>0</v>
      </c>
      <c r="K154" s="69">
        <f>LARGE($E$2:$E$241,153)</f>
        <v>8.8000000000000003E-4</v>
      </c>
      <c r="L154" s="68">
        <f t="shared" si="10"/>
        <v>88</v>
      </c>
      <c r="M154" s="90">
        <f t="shared" si="11"/>
        <v>0</v>
      </c>
      <c r="N154" s="37">
        <v>153</v>
      </c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</row>
    <row r="155" spans="2:29" ht="17.25" thickTop="1" thickBot="1">
      <c r="B155">
        <f>wyniki!B186</f>
        <v>0</v>
      </c>
      <c r="C155" s="56">
        <f>wyniki!G186</f>
        <v>0</v>
      </c>
      <c r="D155" s="18">
        <v>1.5399999999999999E-3</v>
      </c>
      <c r="E155" s="56">
        <f t="shared" si="8"/>
        <v>1.5399999999999999E-3</v>
      </c>
      <c r="F155">
        <f>wyniki!$A$182</f>
        <v>0</v>
      </c>
      <c r="J155" s="79">
        <f t="shared" si="9"/>
        <v>0</v>
      </c>
      <c r="K155" s="69">
        <f>LARGE($E$2:$E$241,154)</f>
        <v>8.7000000000000001E-4</v>
      </c>
      <c r="L155" s="68">
        <f t="shared" si="10"/>
        <v>87</v>
      </c>
      <c r="M155" s="90">
        <f t="shared" si="11"/>
        <v>0</v>
      </c>
      <c r="N155" s="37">
        <v>154</v>
      </c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2:29" ht="17.25" thickTop="1" thickBot="1">
      <c r="B156">
        <f>wyniki!B187</f>
        <v>0</v>
      </c>
      <c r="C156" s="56">
        <f>wyniki!G187</f>
        <v>0</v>
      </c>
      <c r="D156" s="18">
        <v>1.5499999999999999E-3</v>
      </c>
      <c r="E156" s="56">
        <f t="shared" si="8"/>
        <v>1.5499999999999999E-3</v>
      </c>
      <c r="F156">
        <f>wyniki!$A$182</f>
        <v>0</v>
      </c>
      <c r="J156" s="79">
        <f t="shared" si="9"/>
        <v>0</v>
      </c>
      <c r="K156" s="69">
        <f>LARGE($E$2:$E$241,155)</f>
        <v>8.5999999999999998E-4</v>
      </c>
      <c r="L156" s="68">
        <f t="shared" si="10"/>
        <v>86</v>
      </c>
      <c r="M156" s="90">
        <f t="shared" si="11"/>
        <v>0</v>
      </c>
      <c r="N156" s="37">
        <v>155</v>
      </c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</row>
    <row r="157" spans="2:29" ht="17.25" thickTop="1" thickBot="1">
      <c r="B157">
        <f>wyniki!B188</f>
        <v>0</v>
      </c>
      <c r="C157" s="56">
        <f>wyniki!G188</f>
        <v>0</v>
      </c>
      <c r="D157" s="18">
        <v>1.56E-3</v>
      </c>
      <c r="E157" s="56">
        <f t="shared" si="8"/>
        <v>1.56E-3</v>
      </c>
      <c r="F157">
        <f>wyniki!$A$182</f>
        <v>0</v>
      </c>
      <c r="J157" s="79">
        <f t="shared" si="9"/>
        <v>0</v>
      </c>
      <c r="K157" s="69">
        <f>LARGE($E$2:$E$241,156)</f>
        <v>8.4999999999999995E-4</v>
      </c>
      <c r="L157" s="68">
        <f t="shared" si="10"/>
        <v>85</v>
      </c>
      <c r="M157" s="90">
        <f t="shared" si="11"/>
        <v>0</v>
      </c>
      <c r="N157" s="37">
        <v>156</v>
      </c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2:29" ht="17.25" thickTop="1" thickBot="1">
      <c r="B158">
        <f>wyniki!B190</f>
        <v>0</v>
      </c>
      <c r="C158" s="56">
        <f>wyniki!G190</f>
        <v>0</v>
      </c>
      <c r="D158" s="18">
        <v>1.57E-3</v>
      </c>
      <c r="E158" s="56">
        <f t="shared" si="8"/>
        <v>1.57E-3</v>
      </c>
      <c r="F158">
        <f>wyniki!$A$189</f>
        <v>0</v>
      </c>
      <c r="J158" s="79">
        <f t="shared" si="9"/>
        <v>0</v>
      </c>
      <c r="K158" s="69">
        <f>LARGE($E$2:$E$241,157)</f>
        <v>8.4000000000000003E-4</v>
      </c>
      <c r="L158" s="68">
        <f t="shared" si="10"/>
        <v>84</v>
      </c>
      <c r="M158" s="90">
        <f t="shared" si="11"/>
        <v>0</v>
      </c>
      <c r="N158" s="37">
        <v>157</v>
      </c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</row>
    <row r="159" spans="2:29" ht="17.25" thickTop="1" thickBot="1">
      <c r="B159">
        <f>wyniki!B191</f>
        <v>0</v>
      </c>
      <c r="C159" s="56">
        <f>wyniki!G191</f>
        <v>0</v>
      </c>
      <c r="D159" s="18">
        <v>1.58E-3</v>
      </c>
      <c r="E159" s="56">
        <f t="shared" si="8"/>
        <v>1.58E-3</v>
      </c>
      <c r="F159">
        <f>wyniki!$A$189</f>
        <v>0</v>
      </c>
      <c r="J159" s="79">
        <f t="shared" si="9"/>
        <v>0</v>
      </c>
      <c r="K159" s="69">
        <f>LARGE($E$2:$E$241,158)</f>
        <v>8.3000000000000001E-4</v>
      </c>
      <c r="L159" s="68">
        <f t="shared" si="10"/>
        <v>83</v>
      </c>
      <c r="M159" s="90">
        <f t="shared" si="11"/>
        <v>0</v>
      </c>
      <c r="N159" s="37">
        <v>158</v>
      </c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</row>
    <row r="160" spans="2:29" ht="17.25" thickTop="1" thickBot="1">
      <c r="B160">
        <f>wyniki!B192</f>
        <v>0</v>
      </c>
      <c r="C160" s="56">
        <f>wyniki!G192</f>
        <v>0</v>
      </c>
      <c r="D160" s="18">
        <v>1.5900000000000001E-3</v>
      </c>
      <c r="E160" s="56">
        <f t="shared" si="8"/>
        <v>1.5900000000000001E-3</v>
      </c>
      <c r="F160">
        <f>wyniki!$A$189</f>
        <v>0</v>
      </c>
      <c r="J160" s="79">
        <f t="shared" si="9"/>
        <v>0</v>
      </c>
      <c r="K160" s="69">
        <f>LARGE($E$2:$E$241,159)</f>
        <v>8.1999999999999998E-4</v>
      </c>
      <c r="L160" s="68">
        <f t="shared" si="10"/>
        <v>82</v>
      </c>
      <c r="M160" s="90">
        <f t="shared" si="11"/>
        <v>0</v>
      </c>
      <c r="N160" s="37">
        <v>159</v>
      </c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</row>
    <row r="161" spans="2:29" ht="17.25" thickTop="1" thickBot="1">
      <c r="B161">
        <f>wyniki!B193</f>
        <v>0</v>
      </c>
      <c r="C161" s="56">
        <f>wyniki!G193</f>
        <v>0</v>
      </c>
      <c r="D161" s="18">
        <v>1.6000000000000001E-3</v>
      </c>
      <c r="E161" s="56">
        <f t="shared" si="8"/>
        <v>1.6000000000000001E-3</v>
      </c>
      <c r="F161">
        <f>wyniki!$A$189</f>
        <v>0</v>
      </c>
      <c r="J161" s="79">
        <f t="shared" si="9"/>
        <v>0</v>
      </c>
      <c r="K161" s="69">
        <f>LARGE($E$2:$E$241,160)</f>
        <v>8.0999999999999996E-4</v>
      </c>
      <c r="L161" s="68">
        <f t="shared" si="10"/>
        <v>81</v>
      </c>
      <c r="M161" s="90">
        <f t="shared" si="11"/>
        <v>0</v>
      </c>
      <c r="N161" s="37">
        <v>160</v>
      </c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</row>
    <row r="162" spans="2:29" ht="17.25" thickTop="1" thickBot="1">
      <c r="B162">
        <f>wyniki!B194</f>
        <v>0</v>
      </c>
      <c r="C162" s="56">
        <f>wyniki!G194</f>
        <v>0</v>
      </c>
      <c r="D162" s="18">
        <v>1.6100000000000001E-3</v>
      </c>
      <c r="E162" s="56">
        <f t="shared" si="8"/>
        <v>1.6100000000000001E-3</v>
      </c>
      <c r="F162">
        <f>wyniki!$A$189</f>
        <v>0</v>
      </c>
      <c r="J162" s="79">
        <f t="shared" si="9"/>
        <v>0</v>
      </c>
      <c r="K162" s="69">
        <f>LARGE($E$2:$E$241,161)</f>
        <v>8.0000000000000004E-4</v>
      </c>
      <c r="L162" s="68">
        <f t="shared" si="10"/>
        <v>80</v>
      </c>
      <c r="M162" s="90">
        <f t="shared" si="11"/>
        <v>0</v>
      </c>
      <c r="N162" s="37">
        <v>161</v>
      </c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</row>
    <row r="163" spans="2:29" ht="17.25" thickTop="1" thickBot="1">
      <c r="B163">
        <f>wyniki!B195</f>
        <v>0</v>
      </c>
      <c r="C163" s="56">
        <f>wyniki!G195</f>
        <v>0</v>
      </c>
      <c r="D163" s="18">
        <v>1.6199999999999999E-3</v>
      </c>
      <c r="E163" s="56">
        <f t="shared" si="8"/>
        <v>1.6199999999999999E-3</v>
      </c>
      <c r="F163">
        <f>wyniki!$A$189</f>
        <v>0</v>
      </c>
      <c r="J163" s="79">
        <f t="shared" si="9"/>
        <v>0</v>
      </c>
      <c r="K163" s="69">
        <f>LARGE($E$2:$E$241,162)</f>
        <v>7.9000000000000001E-4</v>
      </c>
      <c r="L163" s="68">
        <f t="shared" si="10"/>
        <v>79</v>
      </c>
      <c r="M163" s="90">
        <f t="shared" si="11"/>
        <v>0</v>
      </c>
      <c r="N163" s="37">
        <v>162</v>
      </c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2:29" ht="17.25" thickTop="1" thickBot="1">
      <c r="B164">
        <f>wyniki!B197</f>
        <v>0</v>
      </c>
      <c r="C164" s="56">
        <f>wyniki!G197</f>
        <v>0</v>
      </c>
      <c r="D164" s="18">
        <v>1.6299999999999999E-3</v>
      </c>
      <c r="E164" s="56">
        <f t="shared" si="8"/>
        <v>1.6299999999999999E-3</v>
      </c>
      <c r="F164">
        <f>wyniki!$A$196</f>
        <v>0</v>
      </c>
      <c r="J164" s="79" t="str">
        <f t="shared" si="9"/>
        <v>Płachecki Sebastian</v>
      </c>
      <c r="K164" s="69">
        <f>LARGE($E$2:$E$241,163)</f>
        <v>7.7999999999999999E-4</v>
      </c>
      <c r="L164" s="68">
        <f t="shared" si="10"/>
        <v>78</v>
      </c>
      <c r="M164" s="90" t="str">
        <f t="shared" si="11"/>
        <v>SP18 Płock</v>
      </c>
      <c r="N164" s="37">
        <v>163</v>
      </c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</row>
    <row r="165" spans="2:29" ht="17.25" thickTop="1" thickBot="1">
      <c r="B165">
        <f>wyniki!B198</f>
        <v>0</v>
      </c>
      <c r="C165" s="56">
        <f>wyniki!G198</f>
        <v>0</v>
      </c>
      <c r="D165" s="18">
        <v>1.64E-3</v>
      </c>
      <c r="E165" s="56">
        <f t="shared" si="8"/>
        <v>1.64E-3</v>
      </c>
      <c r="F165">
        <f>wyniki!$A$196</f>
        <v>0</v>
      </c>
      <c r="J165" s="79" t="str">
        <f t="shared" si="9"/>
        <v>Olichwiruk Piotr</v>
      </c>
      <c r="K165" s="69">
        <f>LARGE($E$2:$E$241,164)</f>
        <v>7.6999999999999996E-4</v>
      </c>
      <c r="L165" s="68">
        <f t="shared" si="10"/>
        <v>77</v>
      </c>
      <c r="M165" s="90" t="str">
        <f t="shared" si="11"/>
        <v>SP18 Płock</v>
      </c>
      <c r="N165" s="37">
        <v>164</v>
      </c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2:29" ht="17.25" thickTop="1" thickBot="1">
      <c r="B166">
        <f>wyniki!B199</f>
        <v>0</v>
      </c>
      <c r="C166" s="56">
        <f>wyniki!G199</f>
        <v>0</v>
      </c>
      <c r="D166" s="18">
        <v>1.65E-3</v>
      </c>
      <c r="E166" s="56">
        <f t="shared" si="8"/>
        <v>1.65E-3</v>
      </c>
      <c r="F166">
        <f>wyniki!$A$196</f>
        <v>0</v>
      </c>
      <c r="J166" s="79" t="str">
        <f t="shared" si="9"/>
        <v>Michalski Piotr</v>
      </c>
      <c r="K166" s="69">
        <f>LARGE($E$2:$E$241,165)</f>
        <v>7.6000000000000004E-4</v>
      </c>
      <c r="L166" s="68">
        <f t="shared" si="10"/>
        <v>76</v>
      </c>
      <c r="M166" s="90" t="str">
        <f t="shared" si="11"/>
        <v>SP18 Płock</v>
      </c>
      <c r="N166" s="37">
        <v>165</v>
      </c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</row>
    <row r="167" spans="2:29" ht="17.25" thickTop="1" thickBot="1">
      <c r="B167">
        <f>wyniki!B200</f>
        <v>0</v>
      </c>
      <c r="C167" s="56">
        <f>wyniki!G200</f>
        <v>0</v>
      </c>
      <c r="D167" s="18">
        <v>1.66E-3</v>
      </c>
      <c r="E167" s="56">
        <f t="shared" si="8"/>
        <v>1.66E-3</v>
      </c>
      <c r="F167">
        <f>wyniki!$A$196</f>
        <v>0</v>
      </c>
      <c r="J167" s="79" t="str">
        <f t="shared" si="9"/>
        <v>Lewandowski Bartosz</v>
      </c>
      <c r="K167" s="69">
        <f>LARGE($E$2:$E$241,166)</f>
        <v>7.5000000000000002E-4</v>
      </c>
      <c r="L167" s="68">
        <f t="shared" si="10"/>
        <v>75</v>
      </c>
      <c r="M167" s="90" t="str">
        <f t="shared" si="11"/>
        <v>SP18 Płock</v>
      </c>
      <c r="N167" s="37">
        <v>166</v>
      </c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spans="2:29" ht="17.25" thickTop="1" thickBot="1">
      <c r="B168">
        <f>wyniki!B201</f>
        <v>0</v>
      </c>
      <c r="C168" s="56">
        <f>wyniki!G201</f>
        <v>0</v>
      </c>
      <c r="D168" s="18">
        <v>1.67E-3</v>
      </c>
      <c r="E168" s="56">
        <f t="shared" si="8"/>
        <v>1.67E-3</v>
      </c>
      <c r="F168">
        <f>wyniki!$A$196</f>
        <v>0</v>
      </c>
      <c r="J168" s="79" t="str">
        <f t="shared" si="9"/>
        <v>Leszczyński Kacper</v>
      </c>
      <c r="K168" s="69">
        <f>LARGE($E$2:$E$241,167)</f>
        <v>7.3999999999999999E-4</v>
      </c>
      <c r="L168" s="68">
        <f t="shared" si="10"/>
        <v>74</v>
      </c>
      <c r="M168" s="90" t="str">
        <f t="shared" si="11"/>
        <v>SP18 Płock</v>
      </c>
      <c r="N168" s="37">
        <v>167</v>
      </c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</row>
    <row r="169" spans="2:29" ht="17.25" thickTop="1" thickBot="1">
      <c r="B169">
        <f>wyniki!B202</f>
        <v>0</v>
      </c>
      <c r="C169" s="56">
        <f>wyniki!G202</f>
        <v>0</v>
      </c>
      <c r="D169" s="18">
        <v>1.6800000000000001E-3</v>
      </c>
      <c r="E169" s="56">
        <f t="shared" si="8"/>
        <v>1.6800000000000001E-3</v>
      </c>
      <c r="F169">
        <f>wyniki!$A$196</f>
        <v>0</v>
      </c>
      <c r="J169" s="79" t="str">
        <f t="shared" si="9"/>
        <v>Kołodziej Adam</v>
      </c>
      <c r="K169" s="69">
        <f>LARGE($E$2:$E$241,168)</f>
        <v>7.2999999999999996E-4</v>
      </c>
      <c r="L169" s="68">
        <f t="shared" si="10"/>
        <v>73</v>
      </c>
      <c r="M169" s="90" t="str">
        <f t="shared" si="11"/>
        <v>SP18 Płock</v>
      </c>
      <c r="N169" s="37">
        <v>168</v>
      </c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2:29" ht="17.25" thickTop="1" thickBot="1">
      <c r="B170">
        <f>wyniki!B204</f>
        <v>0</v>
      </c>
      <c r="C170" s="56">
        <f>wyniki!G204</f>
        <v>0</v>
      </c>
      <c r="D170" s="18">
        <v>1.6900000000000001E-3</v>
      </c>
      <c r="E170" s="56">
        <f t="shared" si="8"/>
        <v>1.6900000000000001E-3</v>
      </c>
      <c r="F170">
        <f>wyniki!$A$203</f>
        <v>0</v>
      </c>
      <c r="J170" s="79">
        <f t="shared" si="9"/>
        <v>0</v>
      </c>
      <c r="K170" s="69">
        <f>LARGE($E$2:$E$241,169)</f>
        <v>7.2000000000000005E-4</v>
      </c>
      <c r="L170" s="68">
        <f t="shared" si="10"/>
        <v>72</v>
      </c>
      <c r="M170" s="90" t="str">
        <f t="shared" si="11"/>
        <v>SP2 Mława</v>
      </c>
      <c r="N170" s="37">
        <v>169</v>
      </c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</row>
    <row r="171" spans="2:29" ht="17.25" thickTop="1" thickBot="1">
      <c r="B171">
        <f>wyniki!B205</f>
        <v>0</v>
      </c>
      <c r="C171" s="56">
        <f>wyniki!G205</f>
        <v>0</v>
      </c>
      <c r="D171" s="18">
        <v>1.6999999999999999E-3</v>
      </c>
      <c r="E171" s="56">
        <f t="shared" si="8"/>
        <v>1.6999999999999999E-3</v>
      </c>
      <c r="F171">
        <f>wyniki!$A$203</f>
        <v>0</v>
      </c>
      <c r="J171" s="79" t="str">
        <f t="shared" si="9"/>
        <v>Czaplicki Karol</v>
      </c>
      <c r="K171" s="69">
        <f>LARGE($E$2:$E$241,170)</f>
        <v>7.1000000000000002E-4</v>
      </c>
      <c r="L171" s="68">
        <f t="shared" si="10"/>
        <v>71</v>
      </c>
      <c r="M171" s="90" t="str">
        <f t="shared" si="11"/>
        <v>SP2 Mława</v>
      </c>
      <c r="N171" s="37">
        <v>170</v>
      </c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2:29" ht="17.25" thickTop="1" thickBot="1">
      <c r="B172">
        <f>wyniki!B206</f>
        <v>0</v>
      </c>
      <c r="C172" s="56">
        <f>wyniki!G206</f>
        <v>0</v>
      </c>
      <c r="D172" s="18">
        <v>1.7099999999999999E-3</v>
      </c>
      <c r="E172" s="56">
        <f t="shared" si="8"/>
        <v>1.7099999999999999E-3</v>
      </c>
      <c r="F172">
        <f>wyniki!$A$203</f>
        <v>0</v>
      </c>
      <c r="J172" s="79" t="str">
        <f t="shared" si="9"/>
        <v>Starzak Brajan</v>
      </c>
      <c r="K172" s="69">
        <f>LARGE($E$2:$E$241,171)</f>
        <v>6.9999999999999999E-4</v>
      </c>
      <c r="L172" s="68">
        <f t="shared" si="10"/>
        <v>70</v>
      </c>
      <c r="M172" s="90" t="str">
        <f t="shared" si="11"/>
        <v>SP2 Mława</v>
      </c>
      <c r="N172" s="37">
        <v>171</v>
      </c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</row>
    <row r="173" spans="2:29" ht="17.25" thickTop="1" thickBot="1">
      <c r="B173">
        <f>wyniki!B207</f>
        <v>0</v>
      </c>
      <c r="C173" s="56">
        <f>wyniki!G207</f>
        <v>0</v>
      </c>
      <c r="D173" s="18">
        <v>1.72E-3</v>
      </c>
      <c r="E173" s="56">
        <f t="shared" si="8"/>
        <v>1.72E-3</v>
      </c>
      <c r="F173">
        <f>wyniki!$A$203</f>
        <v>0</v>
      </c>
      <c r="J173" s="79" t="str">
        <f t="shared" si="9"/>
        <v>Jędrzejewski Kamil</v>
      </c>
      <c r="K173" s="69">
        <f>LARGE($E$2:$E$241,172)</f>
        <v>6.8999999999999997E-4</v>
      </c>
      <c r="L173" s="68">
        <f t="shared" si="10"/>
        <v>69</v>
      </c>
      <c r="M173" s="90" t="str">
        <f t="shared" si="11"/>
        <v>SP2 Mława</v>
      </c>
      <c r="N173" s="37">
        <v>172</v>
      </c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2:29" ht="17.25" thickTop="1" thickBot="1">
      <c r="B174">
        <f>wyniki!B208</f>
        <v>0</v>
      </c>
      <c r="C174" s="56">
        <f>wyniki!G208</f>
        <v>0</v>
      </c>
      <c r="D174" s="18">
        <v>1.73E-3</v>
      </c>
      <c r="E174" s="56">
        <f t="shared" si="8"/>
        <v>1.73E-3</v>
      </c>
      <c r="F174">
        <f>wyniki!$A$203</f>
        <v>0</v>
      </c>
      <c r="J174" s="79" t="str">
        <f t="shared" si="9"/>
        <v>Domżalski Szymon</v>
      </c>
      <c r="K174" s="69">
        <f>LARGE($E$2:$E$241,173)</f>
        <v>6.8000000000000005E-4</v>
      </c>
      <c r="L174" s="68">
        <f t="shared" si="10"/>
        <v>68</v>
      </c>
      <c r="M174" s="90" t="str">
        <f t="shared" si="11"/>
        <v>SP2 Mława</v>
      </c>
      <c r="N174" s="37">
        <v>173</v>
      </c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</row>
    <row r="175" spans="2:29" ht="17.25" thickTop="1" thickBot="1">
      <c r="B175">
        <f>wyniki!B209</f>
        <v>0</v>
      </c>
      <c r="C175" s="56">
        <f>wyniki!G209</f>
        <v>0</v>
      </c>
      <c r="D175" s="18">
        <v>1.74E-3</v>
      </c>
      <c r="E175" s="56">
        <f t="shared" si="8"/>
        <v>1.74E-3</v>
      </c>
      <c r="F175">
        <f>wyniki!$A$203</f>
        <v>0</v>
      </c>
      <c r="J175" s="79" t="str">
        <f t="shared" si="9"/>
        <v>Cendrowski Kacper</v>
      </c>
      <c r="K175" s="69">
        <f>LARGE($E$2:$E$241,174)</f>
        <v>6.7000000000000002E-4</v>
      </c>
      <c r="L175" s="68">
        <f t="shared" si="10"/>
        <v>67</v>
      </c>
      <c r="M175" s="90" t="str">
        <f t="shared" si="11"/>
        <v>SP2 Mława</v>
      </c>
      <c r="N175" s="37">
        <v>174</v>
      </c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2:29" ht="17.25" thickTop="1" thickBot="1">
      <c r="B176">
        <f>wyniki!B211</f>
        <v>0</v>
      </c>
      <c r="C176" s="56">
        <f>wyniki!G211</f>
        <v>0</v>
      </c>
      <c r="D176" s="18">
        <v>1.75E-3</v>
      </c>
      <c r="E176" s="56">
        <f t="shared" si="8"/>
        <v>1.75E-3</v>
      </c>
      <c r="F176">
        <f>wyniki!$A$210</f>
        <v>0</v>
      </c>
      <c r="J176" s="79" t="str">
        <f t="shared" si="9"/>
        <v>Zwierzchowski Krystian</v>
      </c>
      <c r="K176" s="69">
        <f>LARGE($E$2:$E$241,175)</f>
        <v>6.6E-4</v>
      </c>
      <c r="L176" s="68">
        <f t="shared" si="10"/>
        <v>66</v>
      </c>
      <c r="M176" s="90" t="str">
        <f t="shared" si="11"/>
        <v>SP2 Zielonka</v>
      </c>
      <c r="N176" s="37">
        <v>175</v>
      </c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</row>
    <row r="177" spans="2:29" ht="17.25" thickTop="1" thickBot="1">
      <c r="B177">
        <f>wyniki!B212</f>
        <v>0</v>
      </c>
      <c r="C177" s="56">
        <f>wyniki!G212</f>
        <v>0</v>
      </c>
      <c r="D177" s="18">
        <v>1.7600000000000001E-3</v>
      </c>
      <c r="E177" s="56">
        <f t="shared" si="8"/>
        <v>1.7600000000000001E-3</v>
      </c>
      <c r="F177">
        <f>wyniki!$A$210</f>
        <v>0</v>
      </c>
      <c r="J177" s="79" t="str">
        <f t="shared" si="9"/>
        <v>Sienkiewicz Marcin</v>
      </c>
      <c r="K177" s="69">
        <f>LARGE($E$2:$E$241,176)</f>
        <v>6.4999999999999997E-4</v>
      </c>
      <c r="L177" s="68">
        <f t="shared" si="10"/>
        <v>65</v>
      </c>
      <c r="M177" s="90" t="str">
        <f t="shared" si="11"/>
        <v>SP2 Zielonka</v>
      </c>
      <c r="N177" s="37">
        <v>176</v>
      </c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2:29" ht="17.25" thickTop="1" thickBot="1">
      <c r="B178">
        <f>wyniki!B213</f>
        <v>0</v>
      </c>
      <c r="C178" s="56">
        <f>wyniki!G213</f>
        <v>0</v>
      </c>
      <c r="D178" s="18">
        <v>1.7700000000000001E-3</v>
      </c>
      <c r="E178" s="56">
        <f t="shared" si="8"/>
        <v>1.7700000000000001E-3</v>
      </c>
      <c r="F178">
        <f>wyniki!$A$210</f>
        <v>0</v>
      </c>
      <c r="J178" s="79" t="str">
        <f t="shared" si="9"/>
        <v>Kochański Adrian</v>
      </c>
      <c r="K178" s="69">
        <f>LARGE($E$2:$E$241,177)</f>
        <v>6.4000000000000005E-4</v>
      </c>
      <c r="L178" s="68">
        <f t="shared" si="10"/>
        <v>64</v>
      </c>
      <c r="M178" s="90" t="str">
        <f t="shared" si="11"/>
        <v>SP2 Zielonka</v>
      </c>
      <c r="N178" s="37">
        <v>177</v>
      </c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</row>
    <row r="179" spans="2:29" ht="17.25" thickTop="1" thickBot="1">
      <c r="B179">
        <f>wyniki!B214</f>
        <v>0</v>
      </c>
      <c r="C179" s="56">
        <f>wyniki!G214</f>
        <v>0</v>
      </c>
      <c r="D179" s="18">
        <v>1.7799999999999999E-3</v>
      </c>
      <c r="E179" s="56">
        <f t="shared" si="8"/>
        <v>1.7799999999999999E-3</v>
      </c>
      <c r="F179">
        <f>wyniki!$A$210</f>
        <v>0</v>
      </c>
      <c r="J179" s="79" t="str">
        <f t="shared" si="9"/>
        <v>Ducki Michał</v>
      </c>
      <c r="K179" s="69">
        <f>LARGE($E$2:$E$241,178)</f>
        <v>6.3000000000000003E-4</v>
      </c>
      <c r="L179" s="68">
        <f t="shared" si="10"/>
        <v>63</v>
      </c>
      <c r="M179" s="90" t="str">
        <f t="shared" si="11"/>
        <v>SP2 Zielonka</v>
      </c>
      <c r="N179" s="37">
        <v>178</v>
      </c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2:29" ht="17.25" thickTop="1" thickBot="1">
      <c r="B180">
        <f>wyniki!B215</f>
        <v>0</v>
      </c>
      <c r="C180" s="56">
        <f>wyniki!G215</f>
        <v>0</v>
      </c>
      <c r="D180" s="18">
        <v>1.7899999999999999E-3</v>
      </c>
      <c r="E180" s="56">
        <f t="shared" si="8"/>
        <v>1.7899999999999999E-3</v>
      </c>
      <c r="F180">
        <f>wyniki!$A$210</f>
        <v>0</v>
      </c>
      <c r="J180" s="79" t="str">
        <f t="shared" si="9"/>
        <v>Kobielski Mateusz</v>
      </c>
      <c r="K180" s="69">
        <f>LARGE($E$2:$E$241,179)</f>
        <v>6.2E-4</v>
      </c>
      <c r="L180" s="68">
        <f t="shared" si="10"/>
        <v>62</v>
      </c>
      <c r="M180" s="90" t="str">
        <f t="shared" si="11"/>
        <v>SP2 Zielonka</v>
      </c>
      <c r="N180" s="37">
        <v>179</v>
      </c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</row>
    <row r="181" spans="2:29" ht="17.25" thickTop="1" thickBot="1">
      <c r="B181">
        <f>wyniki!B216</f>
        <v>0</v>
      </c>
      <c r="C181" s="56">
        <f>wyniki!G216</f>
        <v>0</v>
      </c>
      <c r="D181" s="18">
        <v>1.8E-3</v>
      </c>
      <c r="E181" s="56">
        <f t="shared" si="8"/>
        <v>1.8E-3</v>
      </c>
      <c r="F181">
        <f>wyniki!$A$210</f>
        <v>0</v>
      </c>
      <c r="J181" s="79" t="str">
        <f t="shared" si="9"/>
        <v>Balcer Antoni</v>
      </c>
      <c r="K181" s="69">
        <f>LARGE($E$2:$E$241,180)</f>
        <v>6.0999999999999997E-4</v>
      </c>
      <c r="L181" s="68">
        <f t="shared" si="10"/>
        <v>61</v>
      </c>
      <c r="M181" s="90" t="str">
        <f t="shared" si="11"/>
        <v>SP2 Zielonka</v>
      </c>
      <c r="N181" s="37">
        <v>180</v>
      </c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2:29" ht="17.25" thickTop="1" thickBot="1">
      <c r="B182">
        <f>wyniki!B218</f>
        <v>0</v>
      </c>
      <c r="C182" s="56">
        <f>wyniki!G218</f>
        <v>0</v>
      </c>
      <c r="D182" s="18">
        <v>1.81E-3</v>
      </c>
      <c r="E182" s="56">
        <f t="shared" si="8"/>
        <v>1.81E-3</v>
      </c>
      <c r="F182">
        <f>wyniki!$A$217</f>
        <v>0</v>
      </c>
      <c r="J182" s="79" t="str">
        <f t="shared" si="9"/>
        <v>Urbaniak Igor</v>
      </c>
      <c r="K182" s="69">
        <f>LARGE($E$2:$E$241,181)</f>
        <v>5.9999999999999995E-4</v>
      </c>
      <c r="L182" s="68">
        <f t="shared" si="10"/>
        <v>60</v>
      </c>
      <c r="M182" s="90" t="str">
        <f t="shared" si="11"/>
        <v xml:space="preserve">SP Jednorożec </v>
      </c>
      <c r="N182" s="37">
        <v>181</v>
      </c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</row>
    <row r="183" spans="2:29" ht="17.25" thickTop="1" thickBot="1">
      <c r="B183">
        <f>wyniki!B219</f>
        <v>0</v>
      </c>
      <c r="C183" s="56">
        <f>wyniki!G219</f>
        <v>0</v>
      </c>
      <c r="D183" s="18">
        <v>1.82E-3</v>
      </c>
      <c r="E183" s="56">
        <f t="shared" si="8"/>
        <v>1.82E-3</v>
      </c>
      <c r="F183">
        <f>wyniki!$A$217</f>
        <v>0</v>
      </c>
      <c r="J183" s="79" t="str">
        <f t="shared" si="9"/>
        <v>Pękala Bartłomiej</v>
      </c>
      <c r="K183" s="69">
        <f>LARGE($E$2:$E$241,182)</f>
        <v>5.9000000000000003E-4</v>
      </c>
      <c r="L183" s="68">
        <f t="shared" si="10"/>
        <v>59</v>
      </c>
      <c r="M183" s="90" t="str">
        <f t="shared" si="11"/>
        <v xml:space="preserve">SP Jednorożec </v>
      </c>
      <c r="N183" s="37">
        <v>182</v>
      </c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2:29" ht="17.25" thickTop="1" thickBot="1">
      <c r="B184">
        <f>wyniki!B220</f>
        <v>0</v>
      </c>
      <c r="C184" s="56">
        <f>wyniki!G220</f>
        <v>0</v>
      </c>
      <c r="D184" s="18">
        <v>1.83E-3</v>
      </c>
      <c r="E184" s="56">
        <f t="shared" si="8"/>
        <v>1.83E-3</v>
      </c>
      <c r="F184">
        <f>wyniki!$A$217</f>
        <v>0</v>
      </c>
      <c r="J184" s="79" t="str">
        <f t="shared" si="9"/>
        <v>Bors Paweł</v>
      </c>
      <c r="K184" s="69">
        <f>LARGE($E$2:$E$241,183)</f>
        <v>5.8E-4</v>
      </c>
      <c r="L184" s="68">
        <f t="shared" si="10"/>
        <v>58</v>
      </c>
      <c r="M184" s="90" t="str">
        <f t="shared" si="11"/>
        <v xml:space="preserve">SP Jednorożec </v>
      </c>
      <c r="N184" s="37">
        <v>183</v>
      </c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</row>
    <row r="185" spans="2:29" ht="17.25" thickTop="1" thickBot="1">
      <c r="B185">
        <f>wyniki!B221</f>
        <v>0</v>
      </c>
      <c r="C185" s="56">
        <f>wyniki!G221</f>
        <v>0</v>
      </c>
      <c r="D185" s="18">
        <v>1.8400000000000001E-3</v>
      </c>
      <c r="E185" s="56">
        <f t="shared" si="8"/>
        <v>1.8400000000000001E-3</v>
      </c>
      <c r="F185">
        <f>wyniki!$A$217</f>
        <v>0</v>
      </c>
      <c r="J185" s="79" t="str">
        <f t="shared" si="9"/>
        <v>Bonalski Maciej</v>
      </c>
      <c r="K185" s="69">
        <f>LARGE($E$2:$E$241,184)</f>
        <v>5.6999999999999998E-4</v>
      </c>
      <c r="L185" s="68">
        <f t="shared" si="10"/>
        <v>57</v>
      </c>
      <c r="M185" s="90" t="str">
        <f t="shared" si="11"/>
        <v xml:space="preserve">SP Jednorożec </v>
      </c>
      <c r="N185" s="37">
        <v>184</v>
      </c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spans="2:29" ht="17.25" thickTop="1" thickBot="1">
      <c r="B186">
        <f>wyniki!B222</f>
        <v>0</v>
      </c>
      <c r="C186" s="56">
        <f>wyniki!G222</f>
        <v>0</v>
      </c>
      <c r="D186" s="18">
        <v>1.8500000000000001E-3</v>
      </c>
      <c r="E186" s="56">
        <f t="shared" si="8"/>
        <v>1.8500000000000001E-3</v>
      </c>
      <c r="F186">
        <f>wyniki!$A$217</f>
        <v>0</v>
      </c>
      <c r="J186" s="79" t="str">
        <f t="shared" si="9"/>
        <v>Bakuła Dawid</v>
      </c>
      <c r="K186" s="69">
        <f>LARGE($E$2:$E$241,185)</f>
        <v>5.5999999999999995E-4</v>
      </c>
      <c r="L186" s="68">
        <f t="shared" si="10"/>
        <v>56</v>
      </c>
      <c r="M186" s="90" t="str">
        <f t="shared" si="11"/>
        <v xml:space="preserve">SP Jednorożec </v>
      </c>
      <c r="N186" s="37">
        <v>185</v>
      </c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spans="2:29" ht="17.25" thickTop="1" thickBot="1">
      <c r="B187">
        <f>wyniki!B223</f>
        <v>0</v>
      </c>
      <c r="C187" s="56">
        <f>wyniki!G223</f>
        <v>0</v>
      </c>
      <c r="D187" s="18">
        <v>1.8600000000000001E-3</v>
      </c>
      <c r="E187" s="56">
        <f t="shared" si="8"/>
        <v>1.8600000000000001E-3</v>
      </c>
      <c r="F187">
        <f>wyniki!$A$217</f>
        <v>0</v>
      </c>
      <c r="J187" s="79" t="str">
        <f t="shared" si="9"/>
        <v>Antosiak Maciej</v>
      </c>
      <c r="K187" s="69">
        <f>LARGE($E$2:$E$241,186)</f>
        <v>5.5000000000000003E-4</v>
      </c>
      <c r="L187" s="68">
        <f t="shared" si="10"/>
        <v>55</v>
      </c>
      <c r="M187" s="90" t="str">
        <f t="shared" si="11"/>
        <v xml:space="preserve">SP Jednorożec </v>
      </c>
      <c r="N187" s="37">
        <v>186</v>
      </c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2:29" ht="17.25" thickTop="1" thickBot="1">
      <c r="B188">
        <f>wyniki!B225</f>
        <v>0</v>
      </c>
      <c r="C188" s="56">
        <f>wyniki!G225</f>
        <v>0</v>
      </c>
      <c r="D188" s="18">
        <v>1.8699999999999999E-3</v>
      </c>
      <c r="E188" s="56">
        <f t="shared" si="8"/>
        <v>1.8699999999999999E-3</v>
      </c>
      <c r="F188">
        <f>wyniki!$A$224</f>
        <v>0</v>
      </c>
      <c r="J188" s="79" t="str">
        <f t="shared" si="9"/>
        <v>Zaniemcha Nikodem</v>
      </c>
      <c r="K188" s="69">
        <f>LARGE($E$2:$E$241,187)</f>
        <v>5.4000000000000001E-4</v>
      </c>
      <c r="L188" s="68">
        <f t="shared" si="10"/>
        <v>54</v>
      </c>
      <c r="M188" s="90" t="str">
        <f t="shared" si="11"/>
        <v>SP154 Warszawa</v>
      </c>
      <c r="N188" s="37">
        <v>187</v>
      </c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2:29" ht="17.25" thickTop="1" thickBot="1">
      <c r="B189">
        <f>wyniki!B226</f>
        <v>0</v>
      </c>
      <c r="C189" s="56">
        <f>wyniki!G226</f>
        <v>0</v>
      </c>
      <c r="D189" s="18">
        <v>1.8799999999999999E-3</v>
      </c>
      <c r="E189" s="56">
        <f t="shared" si="8"/>
        <v>1.8799999999999999E-3</v>
      </c>
      <c r="F189">
        <f>wyniki!$A$224</f>
        <v>0</v>
      </c>
      <c r="J189" s="79" t="str">
        <f t="shared" si="9"/>
        <v>Tomiczak Jan</v>
      </c>
      <c r="K189" s="69">
        <f>LARGE($E$2:$E$241,188)</f>
        <v>5.2999999999999998E-4</v>
      </c>
      <c r="L189" s="68">
        <f t="shared" si="10"/>
        <v>53</v>
      </c>
      <c r="M189" s="90" t="str">
        <f t="shared" si="11"/>
        <v>SP154 Warszawa</v>
      </c>
      <c r="N189" s="37">
        <v>188</v>
      </c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2:29" ht="17.25" thickTop="1" thickBot="1">
      <c r="B190">
        <f>wyniki!B227</f>
        <v>0</v>
      </c>
      <c r="C190" s="56">
        <f>wyniki!G227</f>
        <v>0</v>
      </c>
      <c r="D190" s="18">
        <v>1.89E-3</v>
      </c>
      <c r="E190" s="56">
        <f t="shared" si="8"/>
        <v>1.89E-3</v>
      </c>
      <c r="F190">
        <f>wyniki!$A$224</f>
        <v>0</v>
      </c>
      <c r="J190" s="79" t="str">
        <f t="shared" si="9"/>
        <v>Staszkiewicz Michał</v>
      </c>
      <c r="K190" s="69">
        <f>LARGE($E$2:$E$241,189)</f>
        <v>5.1999999999999995E-4</v>
      </c>
      <c r="L190" s="68">
        <f t="shared" si="10"/>
        <v>52</v>
      </c>
      <c r="M190" s="90" t="str">
        <f t="shared" si="11"/>
        <v>SP154 Warszawa</v>
      </c>
      <c r="N190" s="37">
        <v>189</v>
      </c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</row>
    <row r="191" spans="2:29" ht="17.25" thickTop="1" thickBot="1">
      <c r="B191">
        <f>wyniki!B228</f>
        <v>0</v>
      </c>
      <c r="C191" s="56">
        <f>wyniki!G228</f>
        <v>0</v>
      </c>
      <c r="D191" s="18">
        <v>1.9E-3</v>
      </c>
      <c r="E191" s="56">
        <f t="shared" si="8"/>
        <v>1.9E-3</v>
      </c>
      <c r="F191">
        <f>wyniki!$A$224</f>
        <v>0</v>
      </c>
      <c r="J191" s="79" t="str">
        <f t="shared" si="9"/>
        <v>Kałęcki Bartosz</v>
      </c>
      <c r="K191" s="69">
        <f>LARGE($E$2:$E$241,190)</f>
        <v>5.1000000000000004E-4</v>
      </c>
      <c r="L191" s="68">
        <f t="shared" si="10"/>
        <v>51</v>
      </c>
      <c r="M191" s="90" t="str">
        <f t="shared" si="11"/>
        <v>SP154 Warszawa</v>
      </c>
      <c r="N191" s="37">
        <v>190</v>
      </c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2:29" ht="17.25" thickTop="1" thickBot="1">
      <c r="B192">
        <f>wyniki!B229</f>
        <v>0</v>
      </c>
      <c r="C192" s="56">
        <f>wyniki!G229</f>
        <v>0</v>
      </c>
      <c r="D192" s="18">
        <v>1.91E-3</v>
      </c>
      <c r="E192" s="56">
        <f t="shared" si="8"/>
        <v>1.91E-3</v>
      </c>
      <c r="F192">
        <f>wyniki!$A$224</f>
        <v>0</v>
      </c>
      <c r="J192" s="79" t="str">
        <f t="shared" si="9"/>
        <v>Dąbrowski Franciszek</v>
      </c>
      <c r="K192" s="69">
        <f>LARGE($E$2:$E$241,191)</f>
        <v>5.0000000000000001E-4</v>
      </c>
      <c r="L192" s="68">
        <f t="shared" si="10"/>
        <v>50</v>
      </c>
      <c r="M192" s="90" t="str">
        <f t="shared" si="11"/>
        <v>SP154 Warszawa</v>
      </c>
      <c r="N192" s="37">
        <v>191</v>
      </c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spans="2:29" ht="17.25" thickTop="1" thickBot="1">
      <c r="B193">
        <f>wyniki!B230</f>
        <v>0</v>
      </c>
      <c r="C193" s="56">
        <f>wyniki!G230</f>
        <v>0</v>
      </c>
      <c r="D193" s="18">
        <v>1.92E-3</v>
      </c>
      <c r="E193" s="56">
        <f t="shared" si="8"/>
        <v>1.92E-3</v>
      </c>
      <c r="F193">
        <f>wyniki!$A$224</f>
        <v>0</v>
      </c>
      <c r="J193" s="79" t="str">
        <f t="shared" si="9"/>
        <v>Bryczyński Maksymilian</v>
      </c>
      <c r="K193" s="69">
        <f>LARGE($E$2:$E$241,192)</f>
        <v>4.8999999999999998E-4</v>
      </c>
      <c r="L193" s="68">
        <f t="shared" si="10"/>
        <v>49</v>
      </c>
      <c r="M193" s="90" t="str">
        <f t="shared" si="11"/>
        <v>SP154 Warszawa</v>
      </c>
      <c r="N193" s="37">
        <v>192</v>
      </c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  <row r="194" spans="2:29" ht="17.25" thickTop="1" thickBot="1">
      <c r="B194">
        <f>wyniki!B232</f>
        <v>0</v>
      </c>
      <c r="C194" s="56">
        <f>wyniki!G232</f>
        <v>0</v>
      </c>
      <c r="D194" s="18">
        <v>1.9300000000000001E-3</v>
      </c>
      <c r="E194" s="56">
        <f t="shared" si="8"/>
        <v>1.9300000000000001E-3</v>
      </c>
      <c r="F194">
        <f>wyniki!$A$231</f>
        <v>0</v>
      </c>
      <c r="J194" s="79" t="str">
        <f t="shared" si="9"/>
        <v>Wójcicki Maciej</v>
      </c>
      <c r="K194" s="69">
        <f>LARGE($E$2:$E$241,193)</f>
        <v>4.8000000000000001E-4</v>
      </c>
      <c r="L194" s="68">
        <f t="shared" si="10"/>
        <v>48</v>
      </c>
      <c r="M194" s="90" t="str">
        <f t="shared" si="11"/>
        <v>SP Zielonki Parcela</v>
      </c>
      <c r="N194" s="37">
        <v>193</v>
      </c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</row>
    <row r="195" spans="2:29" ht="17.25" thickTop="1" thickBot="1">
      <c r="B195">
        <f>wyniki!B233</f>
        <v>0</v>
      </c>
      <c r="C195" s="56">
        <f>wyniki!G233</f>
        <v>0</v>
      </c>
      <c r="D195" s="18">
        <v>1.9400000000000001E-3</v>
      </c>
      <c r="E195" s="56">
        <f t="shared" ref="E195:E241" si="12">C195+D195</f>
        <v>1.9400000000000001E-3</v>
      </c>
      <c r="F195">
        <f>wyniki!$A$231</f>
        <v>0</v>
      </c>
      <c r="J195" s="79" t="str">
        <f t="shared" ref="J195:J241" si="13">INDEX($B$2:$E$241,L195,1)</f>
        <v>Stepień Wojciech</v>
      </c>
      <c r="K195" s="69">
        <f>LARGE($E$2:$E$241,194)</f>
        <v>4.6999999999999999E-4</v>
      </c>
      <c r="L195" s="68">
        <f t="shared" ref="L195:L241" si="14">MATCH(K195,$E$2:$E$241,0)</f>
        <v>47</v>
      </c>
      <c r="M195" s="90" t="str">
        <f t="shared" ref="M195:M241" si="15">INDEX($E$2:$F$241,L195,2)</f>
        <v>SP Zielonki Parcela</v>
      </c>
      <c r="N195" s="37">
        <v>194</v>
      </c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</row>
    <row r="196" spans="2:29" ht="17.25" thickTop="1" thickBot="1">
      <c r="B196">
        <f>wyniki!B234</f>
        <v>0</v>
      </c>
      <c r="C196" s="56">
        <f>wyniki!G234</f>
        <v>0</v>
      </c>
      <c r="D196" s="18">
        <v>1.9499999999999999E-3</v>
      </c>
      <c r="E196" s="56">
        <f t="shared" si="12"/>
        <v>1.9499999999999999E-3</v>
      </c>
      <c r="F196">
        <f>wyniki!$A$231</f>
        <v>0</v>
      </c>
      <c r="J196" s="79" t="str">
        <f t="shared" si="13"/>
        <v>Sołomski Oliwier</v>
      </c>
      <c r="K196" s="69">
        <f>LARGE($E$2:$E$241,195)</f>
        <v>4.6000000000000001E-4</v>
      </c>
      <c r="L196" s="68">
        <f t="shared" si="14"/>
        <v>46</v>
      </c>
      <c r="M196" s="90" t="str">
        <f t="shared" si="15"/>
        <v>SP Zielonki Parcela</v>
      </c>
      <c r="N196" s="37">
        <v>195</v>
      </c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</row>
    <row r="197" spans="2:29" ht="17.25" thickTop="1" thickBot="1">
      <c r="B197">
        <f>wyniki!B235</f>
        <v>0</v>
      </c>
      <c r="C197" s="56">
        <f>wyniki!G235</f>
        <v>0</v>
      </c>
      <c r="D197" s="18">
        <v>1.9599999999999999E-3</v>
      </c>
      <c r="E197" s="56">
        <f t="shared" si="12"/>
        <v>1.9599999999999999E-3</v>
      </c>
      <c r="F197">
        <f>wyniki!$A$231</f>
        <v>0</v>
      </c>
      <c r="J197" s="79" t="str">
        <f t="shared" si="13"/>
        <v>Kowalski Tymoteusz</v>
      </c>
      <c r="K197" s="69">
        <f>LARGE($E$2:$E$241,196)</f>
        <v>4.4999999999999999E-4</v>
      </c>
      <c r="L197" s="68">
        <f t="shared" si="14"/>
        <v>45</v>
      </c>
      <c r="M197" s="90" t="str">
        <f t="shared" si="15"/>
        <v>SP Zielonki Parcela</v>
      </c>
      <c r="N197" s="37">
        <v>196</v>
      </c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</row>
    <row r="198" spans="2:29" ht="17.25" thickTop="1" thickBot="1">
      <c r="B198">
        <f>wyniki!B236</f>
        <v>0</v>
      </c>
      <c r="C198" s="56">
        <f>wyniki!G236</f>
        <v>0</v>
      </c>
      <c r="D198" s="18">
        <v>1.97E-3</v>
      </c>
      <c r="E198" s="56">
        <f t="shared" si="12"/>
        <v>1.97E-3</v>
      </c>
      <c r="F198">
        <f>wyniki!$A$231</f>
        <v>0</v>
      </c>
      <c r="J198" s="79" t="str">
        <f t="shared" si="13"/>
        <v>Dyszkowski Mateusz</v>
      </c>
      <c r="K198" s="69">
        <f>LARGE($E$2:$E$241,197)</f>
        <v>4.4000000000000002E-4</v>
      </c>
      <c r="L198" s="68">
        <f t="shared" si="14"/>
        <v>44</v>
      </c>
      <c r="M198" s="90" t="str">
        <f t="shared" si="15"/>
        <v>SP Zielonki Parcela</v>
      </c>
      <c r="N198" s="37">
        <v>197</v>
      </c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</row>
    <row r="199" spans="2:29" ht="17.25" thickTop="1" thickBot="1">
      <c r="B199">
        <f>wyniki!B237</f>
        <v>0</v>
      </c>
      <c r="C199" s="56">
        <f>wyniki!G237</f>
        <v>0</v>
      </c>
      <c r="D199" s="18">
        <v>1.98E-3</v>
      </c>
      <c r="E199" s="56">
        <f t="shared" si="12"/>
        <v>1.98E-3</v>
      </c>
      <c r="F199">
        <f>wyniki!$A$231</f>
        <v>0</v>
      </c>
      <c r="J199" s="79" t="str">
        <f t="shared" si="13"/>
        <v>Cisek Mikołaj</v>
      </c>
      <c r="K199" s="69">
        <f>LARGE($E$2:$E$241,198)</f>
        <v>4.2999999999999999E-4</v>
      </c>
      <c r="L199" s="68">
        <f t="shared" si="14"/>
        <v>43</v>
      </c>
      <c r="M199" s="90" t="str">
        <f t="shared" si="15"/>
        <v>SP Zielonki Parcela</v>
      </c>
      <c r="N199" s="37">
        <v>198</v>
      </c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</row>
    <row r="200" spans="2:29" ht="17.25" thickTop="1" thickBot="1">
      <c r="B200">
        <f>wyniki!B239</f>
        <v>0</v>
      </c>
      <c r="C200" s="56">
        <f>wyniki!G239</f>
        <v>0</v>
      </c>
      <c r="D200" s="18">
        <v>1.99E-3</v>
      </c>
      <c r="E200" s="56">
        <f t="shared" si="12"/>
        <v>1.99E-3</v>
      </c>
      <c r="F200">
        <f>wyniki!$A$238</f>
        <v>0</v>
      </c>
      <c r="J200" s="79" t="str">
        <f t="shared" si="13"/>
        <v>Zieniewicz Franciszek</v>
      </c>
      <c r="K200" s="69">
        <f>LARGE($E$2:$E$241,199)</f>
        <v>4.2000000000000002E-4</v>
      </c>
      <c r="L200" s="68">
        <f t="shared" si="14"/>
        <v>42</v>
      </c>
      <c r="M200" s="90" t="str">
        <f t="shared" si="15"/>
        <v>SP204 Warszawa</v>
      </c>
      <c r="N200" s="37">
        <v>199</v>
      </c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</row>
    <row r="201" spans="2:29" ht="17.25" thickTop="1" thickBot="1">
      <c r="B201">
        <f>wyniki!B240</f>
        <v>0</v>
      </c>
      <c r="C201" s="56">
        <f>wyniki!G240</f>
        <v>0</v>
      </c>
      <c r="D201" s="18">
        <v>2E-3</v>
      </c>
      <c r="E201" s="56">
        <f t="shared" si="12"/>
        <v>2E-3</v>
      </c>
      <c r="F201">
        <f>wyniki!$A$238</f>
        <v>0</v>
      </c>
      <c r="J201" s="79" t="str">
        <f t="shared" si="13"/>
        <v>Zawadzki Szymon</v>
      </c>
      <c r="K201" s="69">
        <f>LARGE($E$2:$E$241,200)</f>
        <v>4.0999999999999999E-4</v>
      </c>
      <c r="L201" s="68">
        <f t="shared" si="14"/>
        <v>41</v>
      </c>
      <c r="M201" s="90" t="str">
        <f t="shared" si="15"/>
        <v>SP204 Warszawa</v>
      </c>
      <c r="N201" s="37">
        <v>200</v>
      </c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</row>
    <row r="202" spans="2:29" ht="17.25" thickTop="1" thickBot="1">
      <c r="B202">
        <f>wyniki!B241</f>
        <v>0</v>
      </c>
      <c r="C202" s="56">
        <f>wyniki!G241</f>
        <v>0</v>
      </c>
      <c r="D202" s="18">
        <v>2.0100000000000001E-3</v>
      </c>
      <c r="E202" s="56">
        <f t="shared" si="12"/>
        <v>2.0100000000000001E-3</v>
      </c>
      <c r="F202">
        <f>wyniki!$A$238</f>
        <v>0</v>
      </c>
      <c r="J202" s="79" t="str">
        <f t="shared" si="13"/>
        <v>Tuczyński Aleksander</v>
      </c>
      <c r="K202" s="69">
        <f>LARGE($E$2:$E$241,201)</f>
        <v>4.0000000000000002E-4</v>
      </c>
      <c r="L202" s="68">
        <f t="shared" si="14"/>
        <v>40</v>
      </c>
      <c r="M202" s="90" t="str">
        <f t="shared" si="15"/>
        <v>SP204 Warszawa</v>
      </c>
      <c r="N202" s="37">
        <v>201</v>
      </c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</row>
    <row r="203" spans="2:29" ht="17.25" thickTop="1" thickBot="1">
      <c r="B203">
        <f>wyniki!B242</f>
        <v>0</v>
      </c>
      <c r="C203" s="56">
        <f>wyniki!G242</f>
        <v>0</v>
      </c>
      <c r="D203" s="18">
        <v>2.0200000000000001E-3</v>
      </c>
      <c r="E203" s="56">
        <f t="shared" si="12"/>
        <v>2.0200000000000001E-3</v>
      </c>
      <c r="F203">
        <f>wyniki!$A$238</f>
        <v>0</v>
      </c>
      <c r="J203" s="79" t="str">
        <f t="shared" si="13"/>
        <v>Porębski Jakub</v>
      </c>
      <c r="K203" s="69">
        <f>LARGE($E$2:$E$241,202)</f>
        <v>3.8999999999999999E-4</v>
      </c>
      <c r="L203" s="68">
        <f t="shared" si="14"/>
        <v>39</v>
      </c>
      <c r="M203" s="90" t="str">
        <f t="shared" si="15"/>
        <v>SP204 Warszawa</v>
      </c>
      <c r="N203" s="37">
        <v>202</v>
      </c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</row>
    <row r="204" spans="2:29" ht="17.25" thickTop="1" thickBot="1">
      <c r="B204">
        <f>wyniki!B243</f>
        <v>0</v>
      </c>
      <c r="C204" s="56">
        <f>wyniki!G243</f>
        <v>0</v>
      </c>
      <c r="D204" s="18">
        <v>2.0300000000000001E-3</v>
      </c>
      <c r="E204" s="56">
        <f t="shared" si="12"/>
        <v>2.0300000000000001E-3</v>
      </c>
      <c r="F204">
        <f>wyniki!$A$238</f>
        <v>0</v>
      </c>
      <c r="J204" s="79" t="str">
        <f t="shared" si="13"/>
        <v>Mirecki Mateusz</v>
      </c>
      <c r="K204" s="69">
        <f>LARGE($E$2:$E$241,203)</f>
        <v>3.8000000000000002E-4</v>
      </c>
      <c r="L204" s="68">
        <f t="shared" si="14"/>
        <v>38</v>
      </c>
      <c r="M204" s="90" t="str">
        <f t="shared" si="15"/>
        <v>SP204 Warszawa</v>
      </c>
      <c r="N204" s="37">
        <v>203</v>
      </c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</row>
    <row r="205" spans="2:29" ht="17.25" thickTop="1" thickBot="1">
      <c r="B205">
        <f>wyniki!B244</f>
        <v>0</v>
      </c>
      <c r="C205" s="56">
        <f>wyniki!G244</f>
        <v>0</v>
      </c>
      <c r="D205" s="18">
        <v>2.0400000000000001E-3</v>
      </c>
      <c r="E205" s="56">
        <f t="shared" si="12"/>
        <v>2.0400000000000001E-3</v>
      </c>
      <c r="F205">
        <f>wyniki!$A$238</f>
        <v>0</v>
      </c>
      <c r="J205" s="79" t="str">
        <f t="shared" si="13"/>
        <v>Karbowski Aleksander</v>
      </c>
      <c r="K205" s="69">
        <f>LARGE($E$2:$E$241,204)</f>
        <v>3.6999999999999999E-4</v>
      </c>
      <c r="L205" s="68">
        <f t="shared" si="14"/>
        <v>37</v>
      </c>
      <c r="M205" s="90" t="str">
        <f t="shared" si="15"/>
        <v>SP204 Warszawa</v>
      </c>
      <c r="N205" s="37">
        <v>204</v>
      </c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</row>
    <row r="206" spans="2:29" ht="17.25" thickTop="1" thickBot="1">
      <c r="B206">
        <f>wyniki!B246</f>
        <v>0</v>
      </c>
      <c r="C206" s="56">
        <f>wyniki!G246</f>
        <v>0</v>
      </c>
      <c r="D206" s="18">
        <v>2.0500000000000002E-3</v>
      </c>
      <c r="E206" s="56">
        <f t="shared" si="12"/>
        <v>2.0500000000000002E-3</v>
      </c>
      <c r="F206">
        <f>wyniki!$A$245</f>
        <v>0</v>
      </c>
      <c r="J206" s="79" t="str">
        <f t="shared" si="13"/>
        <v>Równy Krystian</v>
      </c>
      <c r="K206" s="69">
        <f>LARGE($E$2:$E$241,205)</f>
        <v>3.6000000000000002E-4</v>
      </c>
      <c r="L206" s="68">
        <f t="shared" si="14"/>
        <v>36</v>
      </c>
      <c r="M206" s="90" t="str">
        <f t="shared" si="15"/>
        <v>SP1 Ostrów Maz</v>
      </c>
      <c r="N206" s="37">
        <v>205</v>
      </c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</row>
    <row r="207" spans="2:29" ht="17.25" thickTop="1" thickBot="1">
      <c r="B207">
        <f>wyniki!B247</f>
        <v>0</v>
      </c>
      <c r="C207" s="56">
        <f>wyniki!G247</f>
        <v>0</v>
      </c>
      <c r="D207" s="18">
        <v>2.0600000000000002E-3</v>
      </c>
      <c r="E207" s="56">
        <f t="shared" si="12"/>
        <v>2.0600000000000002E-3</v>
      </c>
      <c r="F207">
        <f>wyniki!$A$245</f>
        <v>0</v>
      </c>
      <c r="J207" s="79" t="str">
        <f t="shared" si="13"/>
        <v>Maliszewski Michał</v>
      </c>
      <c r="K207" s="69">
        <f>LARGE($E$2:$E$241,206)</f>
        <v>3.5E-4</v>
      </c>
      <c r="L207" s="68">
        <f t="shared" si="14"/>
        <v>35</v>
      </c>
      <c r="M207" s="90" t="str">
        <f t="shared" si="15"/>
        <v>SP1 Ostrów Maz</v>
      </c>
      <c r="N207" s="37">
        <v>206</v>
      </c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</row>
    <row r="208" spans="2:29" ht="17.25" thickTop="1" thickBot="1">
      <c r="B208">
        <f>wyniki!B248</f>
        <v>0</v>
      </c>
      <c r="C208" s="56">
        <f>wyniki!G248</f>
        <v>0</v>
      </c>
      <c r="D208" s="18">
        <v>2.0699999999999998E-3</v>
      </c>
      <c r="E208" s="56">
        <f t="shared" si="12"/>
        <v>2.0699999999999998E-3</v>
      </c>
      <c r="F208">
        <f>wyniki!$A$245</f>
        <v>0</v>
      </c>
      <c r="J208" s="79" t="str">
        <f t="shared" si="13"/>
        <v>Maliszewski Jan</v>
      </c>
      <c r="K208" s="69">
        <f>LARGE($E$2:$E$241,207)</f>
        <v>3.4000000000000002E-4</v>
      </c>
      <c r="L208" s="68">
        <f t="shared" si="14"/>
        <v>34</v>
      </c>
      <c r="M208" s="90" t="str">
        <f t="shared" si="15"/>
        <v>SP1 Ostrów Maz</v>
      </c>
      <c r="N208" s="37">
        <v>207</v>
      </c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</row>
    <row r="209" spans="2:29" ht="17.25" thickTop="1" thickBot="1">
      <c r="B209">
        <f>wyniki!B249</f>
        <v>0</v>
      </c>
      <c r="C209" s="56">
        <f>wyniki!G249</f>
        <v>0</v>
      </c>
      <c r="D209" s="18">
        <v>2.0799999999999998E-3</v>
      </c>
      <c r="E209" s="56">
        <f t="shared" si="12"/>
        <v>2.0799999999999998E-3</v>
      </c>
      <c r="F209">
        <f>wyniki!$A$245</f>
        <v>0</v>
      </c>
      <c r="J209" s="79" t="str">
        <f t="shared" si="13"/>
        <v>Malec Alan</v>
      </c>
      <c r="K209" s="69">
        <f>LARGE($E$2:$E$241,208)</f>
        <v>3.3E-4</v>
      </c>
      <c r="L209" s="68">
        <f t="shared" si="14"/>
        <v>33</v>
      </c>
      <c r="M209" s="90" t="str">
        <f t="shared" si="15"/>
        <v>SP1 Ostrów Maz</v>
      </c>
      <c r="N209" s="37">
        <v>208</v>
      </c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</row>
    <row r="210" spans="2:29" ht="17.25" thickTop="1" thickBot="1">
      <c r="B210">
        <f>wyniki!B250</f>
        <v>0</v>
      </c>
      <c r="C210" s="56">
        <f>wyniki!G250</f>
        <v>0</v>
      </c>
      <c r="D210" s="18">
        <v>2.0899999999999998E-3</v>
      </c>
      <c r="E210" s="56">
        <f t="shared" si="12"/>
        <v>2.0899999999999998E-3</v>
      </c>
      <c r="F210">
        <f>wyniki!$A$245</f>
        <v>0</v>
      </c>
      <c r="J210" s="79" t="str">
        <f t="shared" si="13"/>
        <v>Kaczerski Kuba</v>
      </c>
      <c r="K210" s="69">
        <f>LARGE($E$2:$E$241,209)</f>
        <v>3.2000000000000003E-4</v>
      </c>
      <c r="L210" s="68">
        <f t="shared" si="14"/>
        <v>32</v>
      </c>
      <c r="M210" s="90" t="str">
        <f t="shared" si="15"/>
        <v>SP1 Ostrów Maz</v>
      </c>
      <c r="N210" s="37">
        <v>209</v>
      </c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</row>
    <row r="211" spans="2:29" ht="17.25" thickTop="1" thickBot="1">
      <c r="B211">
        <f>wyniki!B251</f>
        <v>0</v>
      </c>
      <c r="C211" s="56">
        <f>wyniki!G251</f>
        <v>0</v>
      </c>
      <c r="D211" s="18">
        <v>2.0999999999999999E-3</v>
      </c>
      <c r="E211" s="56">
        <f t="shared" si="12"/>
        <v>2.0999999999999999E-3</v>
      </c>
      <c r="F211">
        <f>wyniki!$A$245</f>
        <v>0</v>
      </c>
      <c r="J211" s="79" t="str">
        <f t="shared" si="13"/>
        <v>Baran Wiktor</v>
      </c>
      <c r="K211" s="69">
        <f>LARGE($E$2:$E$241,210)</f>
        <v>3.1E-4</v>
      </c>
      <c r="L211" s="68">
        <f t="shared" si="14"/>
        <v>31</v>
      </c>
      <c r="M211" s="90" t="str">
        <f t="shared" si="15"/>
        <v>SP1 Ostrów Maz</v>
      </c>
      <c r="N211" s="37">
        <v>210</v>
      </c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</row>
    <row r="212" spans="2:29" ht="17.25" thickTop="1" thickBot="1">
      <c r="B212">
        <f>wyniki!B253</f>
        <v>0</v>
      </c>
      <c r="C212" s="56">
        <f>wyniki!G253</f>
        <v>0</v>
      </c>
      <c r="D212" s="18">
        <v>2.1099999999999999E-3</v>
      </c>
      <c r="E212" s="56">
        <f t="shared" si="12"/>
        <v>2.1099999999999999E-3</v>
      </c>
      <c r="F212">
        <f>wyniki!$A$252</f>
        <v>0</v>
      </c>
      <c r="J212" s="79" t="str">
        <f t="shared" si="13"/>
        <v>Terlikowski Ignacy</v>
      </c>
      <c r="K212" s="69">
        <f>LARGE($E$2:$E$241,211)</f>
        <v>2.9999999999999997E-4</v>
      </c>
      <c r="L212" s="68">
        <f t="shared" si="14"/>
        <v>30</v>
      </c>
      <c r="M212" s="90" t="str">
        <f t="shared" si="15"/>
        <v>SP9 Siedlce</v>
      </c>
      <c r="N212" s="37">
        <v>211</v>
      </c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</row>
    <row r="213" spans="2:29" ht="17.25" thickTop="1" thickBot="1">
      <c r="B213">
        <f>wyniki!B254</f>
        <v>0</v>
      </c>
      <c r="C213" s="56">
        <f>wyniki!G254</f>
        <v>0</v>
      </c>
      <c r="D213" s="18">
        <v>2.1199999999999999E-3</v>
      </c>
      <c r="E213" s="56">
        <f t="shared" si="12"/>
        <v>2.1199999999999999E-3</v>
      </c>
      <c r="F213">
        <f>wyniki!$A$252</f>
        <v>0</v>
      </c>
      <c r="J213" s="79" t="str">
        <f t="shared" si="13"/>
        <v>Sypiański Szymon</v>
      </c>
      <c r="K213" s="69">
        <f>LARGE($E$2:$E$241,212)</f>
        <v>2.9E-4</v>
      </c>
      <c r="L213" s="68">
        <f t="shared" si="14"/>
        <v>29</v>
      </c>
      <c r="M213" s="90" t="str">
        <f t="shared" si="15"/>
        <v>SP9 Siedlce</v>
      </c>
      <c r="N213" s="37">
        <v>212</v>
      </c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</row>
    <row r="214" spans="2:29" ht="17.25" thickTop="1" thickBot="1">
      <c r="B214">
        <f>wyniki!B255</f>
        <v>0</v>
      </c>
      <c r="C214" s="56">
        <f>wyniki!G255</f>
        <v>0</v>
      </c>
      <c r="D214" s="18">
        <v>2.1299999999999999E-3</v>
      </c>
      <c r="E214" s="56">
        <f t="shared" si="12"/>
        <v>2.1299999999999999E-3</v>
      </c>
      <c r="F214">
        <f>wyniki!$A$252</f>
        <v>0</v>
      </c>
      <c r="J214" s="79" t="str">
        <f t="shared" si="13"/>
        <v>Sajewicz Piotr</v>
      </c>
      <c r="K214" s="69">
        <f>LARGE($E$2:$E$241,213)</f>
        <v>2.7999999999999998E-4</v>
      </c>
      <c r="L214" s="68">
        <f t="shared" si="14"/>
        <v>28</v>
      </c>
      <c r="M214" s="90" t="str">
        <f t="shared" si="15"/>
        <v>SP9 Siedlce</v>
      </c>
      <c r="N214" s="37">
        <v>213</v>
      </c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</row>
    <row r="215" spans="2:29" ht="17.25" thickTop="1" thickBot="1">
      <c r="B215">
        <f>wyniki!B256</f>
        <v>0</v>
      </c>
      <c r="C215" s="56">
        <f>wyniki!G256</f>
        <v>0</v>
      </c>
      <c r="D215" s="18">
        <v>2.14E-3</v>
      </c>
      <c r="E215" s="56">
        <f t="shared" si="12"/>
        <v>2.14E-3</v>
      </c>
      <c r="F215">
        <f>wyniki!$A$252</f>
        <v>0</v>
      </c>
      <c r="J215" s="79" t="str">
        <f t="shared" si="13"/>
        <v>Krasuski Jakub</v>
      </c>
      <c r="K215" s="69">
        <f>LARGE($E$2:$E$241,214)</f>
        <v>2.7E-4</v>
      </c>
      <c r="L215" s="68">
        <f t="shared" si="14"/>
        <v>27</v>
      </c>
      <c r="M215" s="90" t="str">
        <f t="shared" si="15"/>
        <v>SP9 Siedlce</v>
      </c>
      <c r="N215" s="37">
        <v>214</v>
      </c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</row>
    <row r="216" spans="2:29" ht="17.25" thickTop="1" thickBot="1">
      <c r="B216">
        <f>wyniki!B257</f>
        <v>0</v>
      </c>
      <c r="C216" s="56">
        <f>wyniki!G257</f>
        <v>0</v>
      </c>
      <c r="D216" s="18">
        <v>2.15E-3</v>
      </c>
      <c r="E216" s="56">
        <f t="shared" si="12"/>
        <v>2.15E-3</v>
      </c>
      <c r="F216">
        <f>wyniki!$A$252</f>
        <v>0</v>
      </c>
      <c r="J216" s="79" t="str">
        <f t="shared" si="13"/>
        <v>Kamiński Mateusz</v>
      </c>
      <c r="K216" s="69">
        <f>LARGE($E$2:$E$241,215)</f>
        <v>2.5999999999999998E-4</v>
      </c>
      <c r="L216" s="68">
        <f t="shared" si="14"/>
        <v>26</v>
      </c>
      <c r="M216" s="90" t="str">
        <f t="shared" si="15"/>
        <v>SP9 Siedlce</v>
      </c>
      <c r="N216" s="37">
        <v>215</v>
      </c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</row>
    <row r="217" spans="2:29" ht="17.25" thickTop="1" thickBot="1">
      <c r="B217">
        <f>wyniki!B258</f>
        <v>0</v>
      </c>
      <c r="C217" s="56">
        <f>wyniki!G258</f>
        <v>0</v>
      </c>
      <c r="D217" s="18">
        <v>2.16E-3</v>
      </c>
      <c r="E217" s="56">
        <f t="shared" si="12"/>
        <v>2.16E-3</v>
      </c>
      <c r="F217">
        <f>wyniki!$A$252</f>
        <v>0</v>
      </c>
      <c r="J217" s="79" t="str">
        <f t="shared" si="13"/>
        <v>Dąbrowski Bartosz</v>
      </c>
      <c r="K217" s="69">
        <f>LARGE($E$2:$E$241,216)</f>
        <v>2.5000000000000001E-4</v>
      </c>
      <c r="L217" s="68">
        <f t="shared" si="14"/>
        <v>25</v>
      </c>
      <c r="M217" s="90" t="str">
        <f t="shared" si="15"/>
        <v>SP9 Siedlce</v>
      </c>
      <c r="N217" s="37">
        <v>216</v>
      </c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</row>
    <row r="218" spans="2:29" ht="17.25" thickTop="1" thickBot="1">
      <c r="B218">
        <f>wyniki!B260</f>
        <v>0</v>
      </c>
      <c r="C218" s="56">
        <f>wyniki!G260</f>
        <v>0</v>
      </c>
      <c r="D218" s="18">
        <v>2.1700000000000001E-3</v>
      </c>
      <c r="E218" s="56">
        <f t="shared" si="12"/>
        <v>2.1700000000000001E-3</v>
      </c>
      <c r="F218">
        <f>wyniki!$A$259</f>
        <v>0</v>
      </c>
      <c r="J218" s="79" t="str">
        <f t="shared" si="13"/>
        <v>Walasik Kacper</v>
      </c>
      <c r="K218" s="69">
        <f>LARGE($E$2:$E$241,217)</f>
        <v>2.4000000000000001E-4</v>
      </c>
      <c r="L218" s="68">
        <f t="shared" si="14"/>
        <v>24</v>
      </c>
      <c r="M218" s="90" t="str">
        <f t="shared" si="15"/>
        <v>SP2 Szydłowiec</v>
      </c>
      <c r="N218" s="37">
        <v>217</v>
      </c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</row>
    <row r="219" spans="2:29" ht="17.25" thickTop="1" thickBot="1">
      <c r="B219">
        <f>wyniki!B261</f>
        <v>0</v>
      </c>
      <c r="C219" s="56">
        <f>wyniki!G261</f>
        <v>0</v>
      </c>
      <c r="D219" s="18">
        <v>2.1800000000000001E-3</v>
      </c>
      <c r="E219" s="56">
        <f t="shared" si="12"/>
        <v>2.1800000000000001E-3</v>
      </c>
      <c r="F219">
        <f>wyniki!$A$259</f>
        <v>0</v>
      </c>
      <c r="J219" s="79" t="str">
        <f t="shared" si="13"/>
        <v>Sala Szymon</v>
      </c>
      <c r="K219" s="69">
        <f>LARGE($E$2:$E$241,218)</f>
        <v>2.3000000000000001E-4</v>
      </c>
      <c r="L219" s="68">
        <f t="shared" si="14"/>
        <v>23</v>
      </c>
      <c r="M219" s="90" t="str">
        <f t="shared" si="15"/>
        <v>SP2 Szydłowiec</v>
      </c>
      <c r="N219" s="37">
        <v>218</v>
      </c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</row>
    <row r="220" spans="2:29" ht="17.25" thickTop="1" thickBot="1">
      <c r="B220">
        <f>wyniki!B262</f>
        <v>0</v>
      </c>
      <c r="C220" s="56">
        <f>wyniki!G262</f>
        <v>0</v>
      </c>
      <c r="D220" s="18">
        <v>2.1900000000000001E-3</v>
      </c>
      <c r="E220" s="56">
        <f t="shared" si="12"/>
        <v>2.1900000000000001E-3</v>
      </c>
      <c r="F220">
        <f>wyniki!$A$259</f>
        <v>0</v>
      </c>
      <c r="J220" s="79" t="str">
        <f t="shared" si="13"/>
        <v>Pawlak Kacper</v>
      </c>
      <c r="K220" s="69">
        <f>LARGE($E$2:$E$241,219)</f>
        <v>2.2000000000000001E-4</v>
      </c>
      <c r="L220" s="68">
        <f t="shared" si="14"/>
        <v>22</v>
      </c>
      <c r="M220" s="90" t="str">
        <f t="shared" si="15"/>
        <v>SP2 Szydłowiec</v>
      </c>
      <c r="N220" s="37">
        <v>219</v>
      </c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</row>
    <row r="221" spans="2:29" ht="17.25" thickTop="1" thickBot="1">
      <c r="B221">
        <f>wyniki!B263</f>
        <v>0</v>
      </c>
      <c r="C221" s="56">
        <f>wyniki!G263</f>
        <v>0</v>
      </c>
      <c r="D221" s="18">
        <v>2.2000000000000001E-3</v>
      </c>
      <c r="E221" s="56">
        <f t="shared" si="12"/>
        <v>2.2000000000000001E-3</v>
      </c>
      <c r="F221">
        <f>wyniki!$A$259</f>
        <v>0</v>
      </c>
      <c r="J221" s="79" t="str">
        <f t="shared" si="13"/>
        <v>May Franciszek</v>
      </c>
      <c r="K221" s="69">
        <f>LARGE($E$2:$E$241,220)</f>
        <v>2.1000000000000001E-4</v>
      </c>
      <c r="L221" s="68">
        <f t="shared" si="14"/>
        <v>21</v>
      </c>
      <c r="M221" s="90" t="str">
        <f t="shared" si="15"/>
        <v>SP2 Szydłowiec</v>
      </c>
      <c r="N221" s="37">
        <v>220</v>
      </c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</row>
    <row r="222" spans="2:29" ht="17.25" thickTop="1" thickBot="1">
      <c r="B222">
        <f>wyniki!B264</f>
        <v>0</v>
      </c>
      <c r="C222" s="56">
        <f>wyniki!G264</f>
        <v>0</v>
      </c>
      <c r="D222" s="18">
        <v>2.2100000000000002E-3</v>
      </c>
      <c r="E222" s="56">
        <f t="shared" si="12"/>
        <v>2.2100000000000002E-3</v>
      </c>
      <c r="F222">
        <f>wyniki!$A$259</f>
        <v>0</v>
      </c>
      <c r="J222" s="79" t="str">
        <f t="shared" si="13"/>
        <v>Kroguec Antoni</v>
      </c>
      <c r="K222" s="69">
        <f>LARGE($E$2:$E$241,221)</f>
        <v>2.0000000000000001E-4</v>
      </c>
      <c r="L222" s="68">
        <f t="shared" si="14"/>
        <v>20</v>
      </c>
      <c r="M222" s="90" t="str">
        <f t="shared" si="15"/>
        <v>SP2 Szydłowiec</v>
      </c>
      <c r="N222" s="37">
        <v>221</v>
      </c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</row>
    <row r="223" spans="2:29" ht="17.25" thickTop="1" thickBot="1">
      <c r="B223">
        <f>wyniki!B265</f>
        <v>0</v>
      </c>
      <c r="C223" s="56">
        <f>wyniki!G265</f>
        <v>0</v>
      </c>
      <c r="D223" s="18">
        <v>2.2200000000000002E-3</v>
      </c>
      <c r="E223" s="56">
        <f t="shared" si="12"/>
        <v>2.2200000000000002E-3</v>
      </c>
      <c r="F223">
        <f>wyniki!$A$259</f>
        <v>0</v>
      </c>
      <c r="J223" s="79" t="str">
        <f t="shared" si="13"/>
        <v>Banaszczyk Dawid</v>
      </c>
      <c r="K223" s="69">
        <f>LARGE($E$2:$E$241,222)</f>
        <v>1.9000000000000001E-4</v>
      </c>
      <c r="L223" s="68">
        <f t="shared" si="14"/>
        <v>19</v>
      </c>
      <c r="M223" s="90" t="str">
        <f t="shared" si="15"/>
        <v>SP2 Szydłowiec</v>
      </c>
      <c r="N223" s="37">
        <v>222</v>
      </c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</row>
    <row r="224" spans="2:29" ht="17.25" thickTop="1" thickBot="1">
      <c r="B224">
        <f>wyniki!B267</f>
        <v>0</v>
      </c>
      <c r="C224" s="56">
        <f>wyniki!G267</f>
        <v>0</v>
      </c>
      <c r="D224" s="18">
        <v>2.2300000000000002E-3</v>
      </c>
      <c r="E224" s="56">
        <f t="shared" si="12"/>
        <v>2.2300000000000002E-3</v>
      </c>
      <c r="F224">
        <f>wyniki!$A$266</f>
        <v>0</v>
      </c>
      <c r="J224" s="79" t="str">
        <f t="shared" si="13"/>
        <v>Zień Paweł</v>
      </c>
      <c r="K224" s="69">
        <f>LARGE($E$2:$E$241,223)</f>
        <v>1.8000000000000001E-4</v>
      </c>
      <c r="L224" s="68">
        <f t="shared" si="14"/>
        <v>18</v>
      </c>
      <c r="M224" s="90" t="str">
        <f t="shared" si="15"/>
        <v>SP4 Pruszków</v>
      </c>
      <c r="N224" s="37">
        <v>223</v>
      </c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</row>
    <row r="225" spans="2:29" ht="17.25" thickTop="1" thickBot="1">
      <c r="B225">
        <f>wyniki!B268</f>
        <v>0</v>
      </c>
      <c r="C225" s="56">
        <f>wyniki!G268</f>
        <v>0</v>
      </c>
      <c r="D225" s="18">
        <v>2.2399999999999998E-3</v>
      </c>
      <c r="E225" s="56">
        <f t="shared" si="12"/>
        <v>2.2399999999999998E-3</v>
      </c>
      <c r="F225">
        <f>wyniki!$A$266</f>
        <v>0</v>
      </c>
      <c r="J225" s="79" t="str">
        <f t="shared" si="13"/>
        <v>Miron Artur</v>
      </c>
      <c r="K225" s="69">
        <f>LARGE($E$2:$E$241,224)</f>
        <v>1.7000000000000001E-4</v>
      </c>
      <c r="L225" s="68">
        <f t="shared" si="14"/>
        <v>17</v>
      </c>
      <c r="M225" s="90" t="str">
        <f t="shared" si="15"/>
        <v>SP4 Pruszków</v>
      </c>
      <c r="N225" s="37">
        <v>224</v>
      </c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</row>
    <row r="226" spans="2:29" ht="17.25" thickTop="1" thickBot="1">
      <c r="B226">
        <f>wyniki!B269</f>
        <v>0</v>
      </c>
      <c r="C226" s="56">
        <f>wyniki!G269</f>
        <v>0</v>
      </c>
      <c r="D226" s="18">
        <v>2.2499999999999998E-3</v>
      </c>
      <c r="E226" s="56">
        <f t="shared" si="12"/>
        <v>2.2499999999999998E-3</v>
      </c>
      <c r="F226">
        <f>wyniki!$A$266</f>
        <v>0</v>
      </c>
      <c r="J226" s="79" t="str">
        <f t="shared" si="13"/>
        <v>Lipiński Cyprian</v>
      </c>
      <c r="K226" s="69">
        <f>LARGE($E$2:$E$241,225)</f>
        <v>1.6000000000000001E-4</v>
      </c>
      <c r="L226" s="68">
        <f t="shared" si="14"/>
        <v>16</v>
      </c>
      <c r="M226" s="90" t="str">
        <f t="shared" si="15"/>
        <v>SP4 Pruszków</v>
      </c>
      <c r="N226" s="37">
        <v>225</v>
      </c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</row>
    <row r="227" spans="2:29" ht="17.25" thickTop="1" thickBot="1">
      <c r="B227">
        <f>wyniki!B270</f>
        <v>0</v>
      </c>
      <c r="C227" s="56">
        <f>wyniki!G270</f>
        <v>0</v>
      </c>
      <c r="D227" s="18">
        <v>2.2599999999999999E-3</v>
      </c>
      <c r="E227" s="56">
        <f t="shared" si="12"/>
        <v>2.2599999999999999E-3</v>
      </c>
      <c r="F227">
        <f>wyniki!$A$266</f>
        <v>0</v>
      </c>
      <c r="J227" s="79" t="str">
        <f t="shared" si="13"/>
        <v>Kwiatkowski Julian</v>
      </c>
      <c r="K227" s="69">
        <f>LARGE($E$2:$E$241,226)</f>
        <v>1.4999999999999999E-4</v>
      </c>
      <c r="L227" s="68">
        <f t="shared" si="14"/>
        <v>15</v>
      </c>
      <c r="M227" s="90" t="str">
        <f t="shared" si="15"/>
        <v>SP4 Pruszków</v>
      </c>
      <c r="N227" s="37">
        <v>226</v>
      </c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</row>
    <row r="228" spans="2:29" ht="17.25" thickTop="1" thickBot="1">
      <c r="B228">
        <f>wyniki!B271</f>
        <v>0</v>
      </c>
      <c r="C228" s="56">
        <f>wyniki!G271</f>
        <v>0</v>
      </c>
      <c r="D228" s="18">
        <v>2.2699999999999999E-3</v>
      </c>
      <c r="E228" s="56">
        <f t="shared" si="12"/>
        <v>2.2699999999999999E-3</v>
      </c>
      <c r="F228">
        <f>wyniki!$A$266</f>
        <v>0</v>
      </c>
      <c r="J228" s="79" t="str">
        <f t="shared" si="13"/>
        <v>Kushchak Kamil</v>
      </c>
      <c r="K228" s="69">
        <f>LARGE($E$2:$E$241,227)</f>
        <v>1.3999999999999999E-4</v>
      </c>
      <c r="L228" s="68">
        <f t="shared" si="14"/>
        <v>14</v>
      </c>
      <c r="M228" s="90" t="str">
        <f t="shared" si="15"/>
        <v>SP4 Pruszków</v>
      </c>
      <c r="N228" s="37">
        <v>227</v>
      </c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</row>
    <row r="229" spans="2:29" ht="17.25" thickTop="1" thickBot="1">
      <c r="B229">
        <f>wyniki!B272</f>
        <v>0</v>
      </c>
      <c r="C229" s="56">
        <f>wyniki!G272</f>
        <v>0</v>
      </c>
      <c r="D229" s="18">
        <v>2.2799999999999999E-3</v>
      </c>
      <c r="E229" s="56">
        <f t="shared" si="12"/>
        <v>2.2799999999999999E-3</v>
      </c>
      <c r="F229">
        <f>wyniki!$A$266</f>
        <v>0</v>
      </c>
      <c r="J229" s="79" t="str">
        <f t="shared" si="13"/>
        <v>Dąbrowski Aleksander</v>
      </c>
      <c r="K229" s="69">
        <f>LARGE($E$2:$E$241,228)</f>
        <v>1.2999999999999999E-4</v>
      </c>
      <c r="L229" s="68">
        <f t="shared" si="14"/>
        <v>13</v>
      </c>
      <c r="M229" s="90" t="str">
        <f t="shared" si="15"/>
        <v>SP4 Pruszków</v>
      </c>
      <c r="N229" s="37">
        <v>228</v>
      </c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</row>
    <row r="230" spans="2:29" ht="17.25" thickTop="1" thickBot="1">
      <c r="B230">
        <f>wyniki!B274</f>
        <v>0</v>
      </c>
      <c r="C230" s="56">
        <f>wyniki!G274</f>
        <v>0</v>
      </c>
      <c r="D230" s="18">
        <v>2.2899999999999999E-3</v>
      </c>
      <c r="E230" s="56">
        <f t="shared" si="12"/>
        <v>2.2899999999999999E-3</v>
      </c>
      <c r="F230">
        <f>wyniki!$A$273</f>
        <v>0</v>
      </c>
      <c r="J230" s="79">
        <f t="shared" si="13"/>
        <v>0</v>
      </c>
      <c r="K230" s="69">
        <f>LARGE($E$2:$E$241,229)</f>
        <v>1.2E-4</v>
      </c>
      <c r="L230" s="68">
        <f t="shared" si="14"/>
        <v>12</v>
      </c>
      <c r="M230" s="90" t="str">
        <f t="shared" si="15"/>
        <v>PSP24 Radom</v>
      </c>
      <c r="N230" s="37">
        <v>229</v>
      </c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</row>
    <row r="231" spans="2:29" ht="17.25" thickTop="1" thickBot="1">
      <c r="B231">
        <f>wyniki!B275</f>
        <v>0</v>
      </c>
      <c r="C231" s="56">
        <f>wyniki!G275</f>
        <v>0</v>
      </c>
      <c r="D231" s="18">
        <v>2.3E-3</v>
      </c>
      <c r="E231" s="56">
        <f t="shared" si="12"/>
        <v>2.3E-3</v>
      </c>
      <c r="F231">
        <f>wyniki!$A$273</f>
        <v>0</v>
      </c>
      <c r="J231" s="79" t="str">
        <f t="shared" si="13"/>
        <v>Trzos Szymon</v>
      </c>
      <c r="K231" s="69">
        <f>LARGE($E$2:$E$241,230)</f>
        <v>1.1E-4</v>
      </c>
      <c r="L231" s="68">
        <f t="shared" si="14"/>
        <v>11</v>
      </c>
      <c r="M231" s="90" t="str">
        <f t="shared" si="15"/>
        <v>PSP24 Radom</v>
      </c>
      <c r="N231" s="37">
        <v>230</v>
      </c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</row>
    <row r="232" spans="2:29" ht="17.25" thickTop="1" thickBot="1">
      <c r="B232">
        <f>wyniki!B276</f>
        <v>0</v>
      </c>
      <c r="C232" s="56">
        <f>wyniki!G276</f>
        <v>0</v>
      </c>
      <c r="D232" s="18">
        <v>2.31E-3</v>
      </c>
      <c r="E232" s="56">
        <f t="shared" si="12"/>
        <v>2.31E-3</v>
      </c>
      <c r="F232">
        <f>wyniki!$A$273</f>
        <v>0</v>
      </c>
      <c r="J232" s="79" t="str">
        <f t="shared" si="13"/>
        <v>Nowak Aleksander</v>
      </c>
      <c r="K232" s="69">
        <f>LARGE($E$2:$E$241,231)</f>
        <v>1E-4</v>
      </c>
      <c r="L232" s="68">
        <f t="shared" si="14"/>
        <v>10</v>
      </c>
      <c r="M232" s="90" t="str">
        <f t="shared" si="15"/>
        <v>PSP24 Radom</v>
      </c>
      <c r="N232" s="37">
        <v>231</v>
      </c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</row>
    <row r="233" spans="2:29" ht="17.25" thickTop="1" thickBot="1">
      <c r="B233">
        <f>wyniki!B277</f>
        <v>0</v>
      </c>
      <c r="C233" s="56">
        <f>wyniki!G277</f>
        <v>0</v>
      </c>
      <c r="D233" s="18">
        <v>2.32E-3</v>
      </c>
      <c r="E233" s="56">
        <f t="shared" si="12"/>
        <v>2.32E-3</v>
      </c>
      <c r="F233">
        <f>wyniki!$A$273</f>
        <v>0</v>
      </c>
      <c r="J233" s="79" t="str">
        <f t="shared" si="13"/>
        <v>Markwat Natan</v>
      </c>
      <c r="K233" s="69">
        <f>LARGE($E$2:$E$241,232)</f>
        <v>9.0000000000000006E-5</v>
      </c>
      <c r="L233" s="68">
        <f t="shared" si="14"/>
        <v>9</v>
      </c>
      <c r="M233" s="90" t="str">
        <f t="shared" si="15"/>
        <v>PSP24 Radom</v>
      </c>
      <c r="N233" s="37">
        <v>232</v>
      </c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</row>
    <row r="234" spans="2:29" ht="17.25" thickTop="1" thickBot="1">
      <c r="B234">
        <f>wyniki!B278</f>
        <v>0</v>
      </c>
      <c r="C234" s="56">
        <f>wyniki!G278</f>
        <v>0</v>
      </c>
      <c r="D234" s="18">
        <v>2.33E-3</v>
      </c>
      <c r="E234" s="56">
        <f t="shared" si="12"/>
        <v>2.33E-3</v>
      </c>
      <c r="F234">
        <f>wyniki!$A$273</f>
        <v>0</v>
      </c>
      <c r="J234" s="79" t="str">
        <f t="shared" si="13"/>
        <v>Komar Wojciech</v>
      </c>
      <c r="K234" s="69">
        <f>LARGE($E$2:$E$241,233)</f>
        <v>8.0000000000000007E-5</v>
      </c>
      <c r="L234" s="68">
        <f t="shared" si="14"/>
        <v>8</v>
      </c>
      <c r="M234" s="90" t="str">
        <f t="shared" si="15"/>
        <v>PSP24 Radom</v>
      </c>
      <c r="N234" s="37">
        <v>233</v>
      </c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</row>
    <row r="235" spans="2:29" ht="17.25" thickTop="1" thickBot="1">
      <c r="B235">
        <f>wyniki!B279</f>
        <v>0</v>
      </c>
      <c r="C235" s="56">
        <f>wyniki!G279</f>
        <v>0</v>
      </c>
      <c r="D235" s="18">
        <v>2.3400000000000001E-3</v>
      </c>
      <c r="E235" s="56">
        <f t="shared" si="12"/>
        <v>2.3400000000000001E-3</v>
      </c>
      <c r="F235">
        <f>wyniki!$A$273</f>
        <v>0</v>
      </c>
      <c r="J235" s="79" t="str">
        <f t="shared" si="13"/>
        <v>Kołacz Nikodem</v>
      </c>
      <c r="K235" s="69">
        <f>LARGE($E$2:$E$241,234)</f>
        <v>6.9999999999999994E-5</v>
      </c>
      <c r="L235" s="68">
        <f t="shared" si="14"/>
        <v>7</v>
      </c>
      <c r="M235" s="90" t="str">
        <f t="shared" si="15"/>
        <v>PSP24 Radom</v>
      </c>
      <c r="N235" s="37">
        <v>234</v>
      </c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</row>
    <row r="236" spans="2:29" ht="17.25" thickTop="1" thickBot="1">
      <c r="B236">
        <f>wyniki!B281</f>
        <v>0</v>
      </c>
      <c r="C236" s="56">
        <f>wyniki!G281</f>
        <v>0</v>
      </c>
      <c r="D236" s="18">
        <v>2.3500000000000001E-3</v>
      </c>
      <c r="E236" s="56">
        <f t="shared" si="12"/>
        <v>2.3500000000000001E-3</v>
      </c>
      <c r="F236">
        <f>wyniki!$A$280</f>
        <v>0</v>
      </c>
      <c r="J236" s="79" t="str">
        <f t="shared" si="13"/>
        <v>Nitychoruk Maciej</v>
      </c>
      <c r="K236" s="69">
        <f>LARGE($E$2:$E$241,235)</f>
        <v>6.0000000000000002E-5</v>
      </c>
      <c r="L236" s="68">
        <f t="shared" si="14"/>
        <v>6</v>
      </c>
      <c r="M236" s="90" t="str">
        <f t="shared" si="15"/>
        <v>SP8 Siedlce</v>
      </c>
      <c r="N236" s="37">
        <v>235</v>
      </c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</row>
    <row r="237" spans="2:29" ht="17.25" thickTop="1" thickBot="1">
      <c r="B237">
        <f>wyniki!B282</f>
        <v>0</v>
      </c>
      <c r="C237" s="56">
        <f>wyniki!G282</f>
        <v>0</v>
      </c>
      <c r="D237" s="18">
        <v>2.3600000000000001E-3</v>
      </c>
      <c r="E237" s="56">
        <f t="shared" si="12"/>
        <v>2.3600000000000001E-3</v>
      </c>
      <c r="F237">
        <f>wyniki!$A$280</f>
        <v>0</v>
      </c>
      <c r="J237" s="79" t="str">
        <f t="shared" si="13"/>
        <v>Świder Tymoteusz</v>
      </c>
      <c r="K237" s="69">
        <f>LARGE($E$2:$E$241,236)</f>
        <v>5.0000000000000002E-5</v>
      </c>
      <c r="L237" s="68">
        <f t="shared" si="14"/>
        <v>5</v>
      </c>
      <c r="M237" s="90" t="str">
        <f t="shared" si="15"/>
        <v>SP8 Siedlce</v>
      </c>
      <c r="N237" s="37">
        <v>236</v>
      </c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spans="2:29" ht="17.25" thickTop="1" thickBot="1">
      <c r="B238">
        <f>wyniki!B283</f>
        <v>0</v>
      </c>
      <c r="C238" s="56">
        <f>wyniki!G283</f>
        <v>0</v>
      </c>
      <c r="D238" s="18">
        <v>2.3700000000000001E-3</v>
      </c>
      <c r="E238" s="56">
        <f t="shared" si="12"/>
        <v>2.3700000000000001E-3</v>
      </c>
      <c r="F238">
        <f>wyniki!$A$280</f>
        <v>0</v>
      </c>
      <c r="J238" s="79" t="str">
        <f t="shared" si="13"/>
        <v>Redes Maciej</v>
      </c>
      <c r="K238" s="69">
        <f>LARGE($E$2:$E$241,237)</f>
        <v>4.0000000000000003E-5</v>
      </c>
      <c r="L238" s="68">
        <f t="shared" si="14"/>
        <v>4</v>
      </c>
      <c r="M238" s="90" t="str">
        <f t="shared" si="15"/>
        <v>SP8 Siedlce</v>
      </c>
      <c r="N238" s="37">
        <v>237</v>
      </c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</row>
    <row r="239" spans="2:29" ht="17.25" thickTop="1" thickBot="1">
      <c r="B239">
        <f>wyniki!B284</f>
        <v>0</v>
      </c>
      <c r="C239" s="56">
        <f>wyniki!G284</f>
        <v>0</v>
      </c>
      <c r="D239" s="18">
        <v>2.3800000000000002E-3</v>
      </c>
      <c r="E239" s="56">
        <f t="shared" si="12"/>
        <v>2.3800000000000002E-3</v>
      </c>
      <c r="F239">
        <f>wyniki!$A$280</f>
        <v>0</v>
      </c>
      <c r="J239" s="79" t="str">
        <f t="shared" si="13"/>
        <v>Ługowski Bartosz</v>
      </c>
      <c r="K239" s="69">
        <f>LARGE($E$2:$E$241,238)</f>
        <v>3.0000000000000001E-5</v>
      </c>
      <c r="L239" s="68">
        <f t="shared" si="14"/>
        <v>3</v>
      </c>
      <c r="M239" s="90" t="str">
        <f t="shared" si="15"/>
        <v>SP8 Siedlce</v>
      </c>
      <c r="N239" s="37">
        <v>238</v>
      </c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spans="2:29" ht="17.25" thickTop="1" thickBot="1">
      <c r="B240">
        <f>wyniki!B285</f>
        <v>0</v>
      </c>
      <c r="C240" s="56">
        <f>wyniki!G285</f>
        <v>0</v>
      </c>
      <c r="D240" s="18">
        <v>2.3900000000000002E-3</v>
      </c>
      <c r="E240" s="56">
        <f t="shared" si="12"/>
        <v>2.3900000000000002E-3</v>
      </c>
      <c r="F240">
        <f>wyniki!$A$280</f>
        <v>0</v>
      </c>
      <c r="J240" s="79" t="str">
        <f t="shared" si="13"/>
        <v>Iliński Aleksander</v>
      </c>
      <c r="K240" s="69">
        <f>LARGE($E$2:$E$241,239)</f>
        <v>2.0000000000000002E-5</v>
      </c>
      <c r="L240" s="68">
        <f t="shared" si="14"/>
        <v>2</v>
      </c>
      <c r="M240" s="90" t="str">
        <f t="shared" si="15"/>
        <v>SP8 Siedlce</v>
      </c>
      <c r="N240" s="37">
        <v>239</v>
      </c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</row>
    <row r="241" spans="1:29" ht="17.25" thickTop="1" thickBot="1">
      <c r="B241">
        <f>wyniki!B286</f>
        <v>0</v>
      </c>
      <c r="C241" s="56">
        <f>wyniki!G286</f>
        <v>0</v>
      </c>
      <c r="D241" s="18">
        <v>2.3999999999999998E-3</v>
      </c>
      <c r="E241" s="56">
        <f t="shared" si="12"/>
        <v>2.3999999999999998E-3</v>
      </c>
      <c r="F241">
        <f>wyniki!$A$280</f>
        <v>0</v>
      </c>
      <c r="J241" s="79" t="str">
        <f t="shared" si="13"/>
        <v>Dąbrowski Mateusz</v>
      </c>
      <c r="K241" s="69">
        <f>LARGE($E$2:$E$241,240)</f>
        <v>1.0000000000000001E-5</v>
      </c>
      <c r="L241" s="68">
        <f t="shared" si="14"/>
        <v>1</v>
      </c>
      <c r="M241" s="90" t="str">
        <f t="shared" si="15"/>
        <v>SP8 Siedlce</v>
      </c>
      <c r="N241" s="37">
        <v>240</v>
      </c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</row>
    <row r="242" spans="1:29" ht="13.5" thickTop="1">
      <c r="A242" s="21"/>
      <c r="B242" s="21"/>
      <c r="C242" s="21"/>
      <c r="D242" s="21"/>
      <c r="E242" s="21"/>
      <c r="F242" s="21"/>
      <c r="G242" s="21"/>
      <c r="H242" s="21"/>
      <c r="I242" s="21"/>
      <c r="J242" s="86"/>
      <c r="K242" s="70"/>
      <c r="L242" s="24"/>
      <c r="M242" s="86"/>
      <c r="N242" s="66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</row>
    <row r="243" spans="1:29">
      <c r="A243" s="21"/>
      <c r="B243" s="21"/>
      <c r="C243" s="21"/>
      <c r="D243" s="21"/>
      <c r="E243" s="21"/>
      <c r="F243" s="21"/>
      <c r="G243" s="21"/>
      <c r="H243" s="21"/>
      <c r="I243" s="21"/>
      <c r="J243" s="86"/>
      <c r="K243" s="70"/>
      <c r="L243" s="24"/>
      <c r="M243" s="86"/>
      <c r="N243" s="66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</row>
    <row r="244" spans="1:29">
      <c r="A244" s="21"/>
      <c r="B244" s="21"/>
      <c r="C244" s="21"/>
      <c r="D244" s="21"/>
      <c r="E244" s="21"/>
      <c r="F244" s="21"/>
      <c r="G244" s="21"/>
      <c r="H244" s="21"/>
      <c r="I244" s="21"/>
      <c r="J244" s="86"/>
      <c r="K244" s="70"/>
      <c r="L244" s="24"/>
      <c r="M244" s="86"/>
      <c r="N244" s="66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</row>
    <row r="245" spans="1:29">
      <c r="A245" s="21"/>
      <c r="B245" s="21"/>
      <c r="C245" s="21"/>
      <c r="D245" s="21"/>
      <c r="E245" s="21"/>
      <c r="F245" s="21"/>
      <c r="G245" s="21"/>
      <c r="H245" s="21"/>
      <c r="I245" s="21"/>
      <c r="J245" s="86"/>
      <c r="K245" s="70"/>
      <c r="L245" s="24"/>
      <c r="M245" s="86"/>
      <c r="N245" s="66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</row>
    <row r="246" spans="1:29">
      <c r="A246" s="21"/>
      <c r="B246" s="21"/>
      <c r="C246" s="21"/>
      <c r="D246" s="21"/>
      <c r="E246" s="21"/>
      <c r="F246" s="21"/>
      <c r="G246" s="21"/>
      <c r="H246" s="21"/>
      <c r="I246" s="21"/>
      <c r="J246" s="86"/>
      <c r="K246" s="70"/>
      <c r="L246" s="24"/>
      <c r="M246" s="86"/>
      <c r="N246" s="66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</row>
    <row r="247" spans="1:29">
      <c r="A247" s="21"/>
      <c r="B247" s="21"/>
      <c r="C247" s="21"/>
      <c r="D247" s="21"/>
      <c r="E247" s="21"/>
      <c r="F247" s="21"/>
      <c r="G247" s="21"/>
      <c r="H247" s="21"/>
      <c r="I247" s="21"/>
      <c r="J247" s="86"/>
      <c r="K247" s="70"/>
      <c r="L247" s="24"/>
      <c r="M247" s="86"/>
      <c r="N247" s="66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</row>
    <row r="248" spans="1:29">
      <c r="A248" s="21"/>
      <c r="B248" s="21"/>
      <c r="C248" s="21"/>
      <c r="D248" s="21"/>
      <c r="E248" s="21"/>
      <c r="F248" s="21"/>
      <c r="G248" s="21"/>
      <c r="H248" s="21"/>
      <c r="I248" s="21"/>
      <c r="J248" s="86"/>
      <c r="K248" s="70"/>
      <c r="L248" s="24"/>
      <c r="M248" s="86"/>
      <c r="N248" s="66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</row>
    <row r="249" spans="1:29">
      <c r="A249" s="21"/>
      <c r="B249" s="21"/>
      <c r="C249" s="21"/>
      <c r="D249" s="21"/>
      <c r="E249" s="21"/>
      <c r="F249" s="21"/>
      <c r="G249" s="21"/>
      <c r="H249" s="21"/>
      <c r="I249" s="21"/>
      <c r="J249" s="86"/>
      <c r="K249" s="70"/>
      <c r="L249" s="24"/>
      <c r="M249" s="86"/>
      <c r="N249" s="66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</row>
    <row r="250" spans="1:29">
      <c r="A250" s="21"/>
      <c r="B250" s="21"/>
      <c r="C250" s="21"/>
      <c r="D250" s="21"/>
      <c r="E250" s="21"/>
      <c r="F250" s="21"/>
      <c r="G250" s="21"/>
      <c r="H250" s="21"/>
      <c r="I250" s="21"/>
      <c r="J250" s="86"/>
      <c r="K250" s="70"/>
      <c r="L250" s="24"/>
      <c r="M250" s="86"/>
      <c r="N250" s="66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</row>
    <row r="251" spans="1:29">
      <c r="A251" s="21"/>
      <c r="B251" s="21"/>
      <c r="C251" s="21"/>
      <c r="D251" s="21"/>
      <c r="E251" s="21"/>
      <c r="F251" s="21"/>
      <c r="G251" s="21"/>
      <c r="H251" s="21"/>
      <c r="I251" s="21"/>
      <c r="J251" s="86"/>
      <c r="K251" s="70"/>
      <c r="L251" s="24"/>
      <c r="M251" s="86"/>
      <c r="N251" s="66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</row>
    <row r="252" spans="1:29">
      <c r="A252" s="21"/>
      <c r="B252" s="21"/>
      <c r="C252" s="21"/>
      <c r="D252" s="21"/>
      <c r="E252" s="21"/>
      <c r="F252" s="21"/>
      <c r="G252" s="21"/>
      <c r="H252" s="21"/>
      <c r="I252" s="21"/>
      <c r="J252" s="86"/>
      <c r="K252" s="70"/>
      <c r="L252" s="24"/>
      <c r="M252" s="86"/>
      <c r="N252" s="66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</row>
    <row r="253" spans="1:29">
      <c r="A253" s="21"/>
      <c r="B253" s="21"/>
      <c r="C253" s="21"/>
      <c r="D253" s="21"/>
      <c r="E253" s="21"/>
      <c r="F253" s="21"/>
      <c r="G253" s="21"/>
      <c r="H253" s="21"/>
      <c r="I253" s="21"/>
      <c r="J253" s="86"/>
      <c r="K253" s="70"/>
      <c r="L253" s="24"/>
      <c r="M253" s="86"/>
      <c r="N253" s="66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</row>
    <row r="254" spans="1:29">
      <c r="A254" s="21"/>
      <c r="B254" s="21"/>
      <c r="C254" s="21"/>
      <c r="D254" s="21"/>
      <c r="E254" s="21"/>
      <c r="F254" s="21"/>
      <c r="G254" s="21"/>
      <c r="H254" s="21"/>
      <c r="I254" s="21"/>
      <c r="J254" s="86"/>
      <c r="K254" s="70"/>
      <c r="L254" s="24"/>
      <c r="M254" s="86"/>
      <c r="N254" s="66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</row>
    <row r="255" spans="1:29">
      <c r="A255" s="21"/>
      <c r="B255" s="21"/>
      <c r="C255" s="21"/>
      <c r="D255" s="21"/>
      <c r="E255" s="21"/>
      <c r="F255" s="21"/>
      <c r="G255" s="21"/>
      <c r="H255" s="21"/>
      <c r="I255" s="21"/>
      <c r="J255" s="86"/>
      <c r="K255" s="70"/>
      <c r="L255" s="24"/>
      <c r="M255" s="86"/>
      <c r="N255" s="66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</row>
    <row r="256" spans="1:29">
      <c r="A256" s="21"/>
      <c r="B256" s="21"/>
      <c r="C256" s="21"/>
      <c r="D256" s="21"/>
      <c r="E256" s="21"/>
      <c r="F256" s="21"/>
      <c r="G256" s="21"/>
      <c r="H256" s="21"/>
      <c r="I256" s="21"/>
      <c r="J256" s="86"/>
      <c r="K256" s="70"/>
      <c r="L256" s="24"/>
      <c r="M256" s="86"/>
      <c r="N256" s="66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</row>
    <row r="257" spans="1:29">
      <c r="A257" s="21"/>
      <c r="B257" s="21"/>
      <c r="C257" s="21"/>
      <c r="D257" s="21"/>
      <c r="E257" s="21"/>
      <c r="F257" s="21"/>
      <c r="G257" s="21"/>
      <c r="H257" s="21"/>
      <c r="I257" s="21"/>
      <c r="J257" s="86"/>
      <c r="K257" s="70"/>
      <c r="L257" s="24"/>
      <c r="M257" s="86"/>
      <c r="N257" s="66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spans="1:29">
      <c r="A258" s="21"/>
      <c r="B258" s="21"/>
      <c r="C258" s="21"/>
      <c r="D258" s="21"/>
      <c r="E258" s="21"/>
      <c r="F258" s="21"/>
      <c r="G258" s="21"/>
      <c r="H258" s="21"/>
      <c r="I258" s="21"/>
      <c r="J258" s="86"/>
      <c r="K258" s="70"/>
      <c r="L258" s="24"/>
      <c r="M258" s="86"/>
      <c r="N258" s="66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</row>
    <row r="259" spans="1:29">
      <c r="A259" s="21"/>
      <c r="B259" s="21"/>
      <c r="C259" s="21"/>
      <c r="D259" s="21"/>
      <c r="E259" s="21"/>
      <c r="F259" s="21"/>
      <c r="G259" s="21"/>
      <c r="H259" s="21"/>
      <c r="I259" s="21"/>
      <c r="J259" s="86"/>
      <c r="K259" s="70"/>
      <c r="L259" s="24"/>
      <c r="M259" s="86"/>
      <c r="N259" s="66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spans="1:29">
      <c r="A260" s="21"/>
      <c r="B260" s="21"/>
      <c r="C260" s="21"/>
      <c r="D260" s="21"/>
      <c r="E260" s="21"/>
      <c r="F260" s="21"/>
      <c r="G260" s="21"/>
      <c r="H260" s="21"/>
      <c r="I260" s="21"/>
      <c r="J260" s="86"/>
      <c r="K260" s="70"/>
      <c r="L260" s="24"/>
      <c r="M260" s="86"/>
      <c r="N260" s="66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</row>
    <row r="261" spans="1:29">
      <c r="A261" s="21"/>
      <c r="B261" s="21"/>
      <c r="C261" s="21"/>
      <c r="D261" s="21"/>
      <c r="E261" s="21"/>
      <c r="F261" s="21"/>
      <c r="G261" s="21"/>
      <c r="H261" s="21"/>
      <c r="I261" s="21"/>
      <c r="J261" s="86"/>
      <c r="K261" s="70"/>
      <c r="L261" s="24"/>
      <c r="M261" s="86"/>
      <c r="N261" s="66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spans="1:29">
      <c r="A262" s="21"/>
      <c r="B262" s="21"/>
      <c r="C262" s="21"/>
      <c r="D262" s="21"/>
      <c r="E262" s="21"/>
      <c r="F262" s="21"/>
      <c r="G262" s="21"/>
      <c r="H262" s="21"/>
      <c r="I262" s="21"/>
      <c r="J262" s="86"/>
      <c r="K262" s="70"/>
      <c r="L262" s="24"/>
      <c r="M262" s="86"/>
      <c r="N262" s="66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</row>
    <row r="263" spans="1:29">
      <c r="A263" s="21"/>
      <c r="B263" s="21"/>
      <c r="C263" s="21"/>
      <c r="D263" s="21"/>
      <c r="E263" s="21"/>
      <c r="F263" s="21"/>
      <c r="G263" s="21"/>
      <c r="H263" s="21"/>
      <c r="I263" s="21"/>
      <c r="J263" s="86"/>
      <c r="K263" s="70"/>
      <c r="L263" s="24"/>
      <c r="M263" s="86"/>
      <c r="N263" s="66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spans="1:29">
      <c r="A264" s="21"/>
      <c r="B264" s="21"/>
      <c r="C264" s="21"/>
      <c r="D264" s="21"/>
      <c r="E264" s="21"/>
      <c r="F264" s="21"/>
      <c r="G264" s="21"/>
      <c r="H264" s="21"/>
      <c r="I264" s="21"/>
      <c r="J264" s="86"/>
      <c r="K264" s="70"/>
      <c r="L264" s="24"/>
      <c r="M264" s="86"/>
      <c r="N264" s="66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</row>
    <row r="265" spans="1:29">
      <c r="A265" s="21"/>
      <c r="B265" s="21"/>
      <c r="C265" s="21"/>
      <c r="D265" s="21"/>
      <c r="E265" s="21"/>
      <c r="F265" s="21"/>
      <c r="G265" s="21"/>
      <c r="H265" s="21"/>
      <c r="I265" s="21"/>
      <c r="J265" s="86"/>
      <c r="K265" s="70"/>
      <c r="L265" s="24"/>
      <c r="M265" s="86"/>
      <c r="N265" s="66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spans="1:29">
      <c r="A266" s="21"/>
      <c r="B266" s="21"/>
      <c r="C266" s="21"/>
      <c r="D266" s="21"/>
      <c r="E266" s="21"/>
      <c r="F266" s="21"/>
      <c r="G266" s="21"/>
      <c r="H266" s="21"/>
      <c r="I266" s="21"/>
      <c r="J266" s="86"/>
      <c r="K266" s="70"/>
      <c r="L266" s="24"/>
      <c r="M266" s="86"/>
      <c r="N266" s="66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</row>
    <row r="267" spans="1:29">
      <c r="A267" s="21"/>
      <c r="B267" s="21"/>
      <c r="C267" s="21"/>
      <c r="D267" s="21"/>
      <c r="E267" s="21"/>
      <c r="F267" s="21"/>
      <c r="G267" s="21"/>
      <c r="H267" s="21"/>
      <c r="I267" s="21"/>
      <c r="J267" s="86"/>
      <c r="K267" s="70"/>
      <c r="L267" s="24"/>
      <c r="M267" s="86"/>
      <c r="N267" s="66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</row>
    <row r="268" spans="1:29">
      <c r="A268" s="21"/>
      <c r="B268" s="21"/>
      <c r="C268" s="21"/>
      <c r="D268" s="21"/>
      <c r="E268" s="21"/>
      <c r="F268" s="21"/>
      <c r="G268" s="21"/>
      <c r="H268" s="21"/>
      <c r="I268" s="21"/>
      <c r="J268" s="86"/>
      <c r="K268" s="70"/>
      <c r="L268" s="24"/>
      <c r="M268" s="86"/>
      <c r="N268" s="66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</row>
    <row r="269" spans="1:29">
      <c r="A269" s="21"/>
      <c r="B269" s="21"/>
      <c r="C269" s="21"/>
      <c r="D269" s="21"/>
      <c r="E269" s="21"/>
      <c r="F269" s="21"/>
      <c r="G269" s="21"/>
      <c r="H269" s="21"/>
      <c r="I269" s="21"/>
      <c r="J269" s="86"/>
      <c r="K269" s="70"/>
      <c r="L269" s="24"/>
      <c r="M269" s="86"/>
      <c r="N269" s="66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:29">
      <c r="A270" s="21"/>
      <c r="B270" s="21"/>
      <c r="C270" s="21"/>
      <c r="D270" s="21"/>
      <c r="E270" s="21"/>
      <c r="F270" s="21"/>
      <c r="G270" s="21"/>
      <c r="H270" s="21"/>
      <c r="I270" s="21"/>
      <c r="J270" s="86"/>
      <c r="K270" s="70"/>
      <c r="L270" s="24"/>
      <c r="M270" s="86"/>
      <c r="N270" s="66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</row>
    <row r="271" spans="1:29">
      <c r="A271" s="21"/>
      <c r="B271" s="21"/>
      <c r="C271" s="21"/>
      <c r="D271" s="21"/>
      <c r="E271" s="21"/>
      <c r="F271" s="21"/>
      <c r="G271" s="21"/>
      <c r="H271" s="21"/>
      <c r="I271" s="21"/>
      <c r="J271" s="86"/>
      <c r="K271" s="70"/>
      <c r="L271" s="24"/>
      <c r="M271" s="86"/>
      <c r="N271" s="66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1:29">
      <c r="A272" s="21"/>
      <c r="B272" s="21"/>
      <c r="C272" s="21"/>
      <c r="D272" s="21"/>
      <c r="E272" s="21"/>
      <c r="F272" s="21"/>
      <c r="G272" s="21"/>
      <c r="H272" s="21"/>
      <c r="I272" s="21"/>
      <c r="J272" s="86"/>
      <c r="K272" s="70"/>
      <c r="L272" s="24"/>
      <c r="M272" s="86"/>
      <c r="N272" s="66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</row>
    <row r="273" spans="1:29">
      <c r="A273" s="21"/>
      <c r="B273" s="21"/>
      <c r="C273" s="21"/>
      <c r="D273" s="21"/>
      <c r="E273" s="21"/>
      <c r="F273" s="21"/>
      <c r="G273" s="21"/>
      <c r="H273" s="21"/>
      <c r="I273" s="21"/>
      <c r="J273" s="86"/>
      <c r="K273" s="70"/>
      <c r="L273" s="24"/>
      <c r="M273" s="86"/>
      <c r="N273" s="66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1:29">
      <c r="A274" s="21"/>
      <c r="B274" s="21"/>
      <c r="C274" s="21"/>
      <c r="D274" s="21"/>
      <c r="E274" s="21"/>
      <c r="F274" s="21"/>
      <c r="G274" s="21"/>
      <c r="H274" s="21"/>
      <c r="I274" s="21"/>
      <c r="J274" s="86"/>
      <c r="K274" s="70"/>
      <c r="L274" s="24"/>
      <c r="M274" s="86"/>
      <c r="N274" s="66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</row>
    <row r="275" spans="1:29">
      <c r="A275" s="21"/>
      <c r="B275" s="21"/>
      <c r="C275" s="21"/>
      <c r="D275" s="21"/>
      <c r="E275" s="21"/>
      <c r="F275" s="21"/>
      <c r="G275" s="21"/>
      <c r="H275" s="21"/>
      <c r="I275" s="21"/>
      <c r="J275" s="86"/>
      <c r="K275" s="70"/>
      <c r="L275" s="24"/>
      <c r="M275" s="86"/>
      <c r="N275" s="66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1:29">
      <c r="A276" s="21"/>
      <c r="B276" s="21"/>
      <c r="C276" s="21"/>
      <c r="D276" s="21"/>
      <c r="E276" s="21"/>
      <c r="F276" s="21"/>
      <c r="G276" s="21"/>
      <c r="H276" s="21"/>
      <c r="I276" s="21"/>
      <c r="J276" s="86"/>
      <c r="K276" s="70"/>
      <c r="L276" s="24"/>
      <c r="M276" s="86"/>
      <c r="N276" s="66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</row>
    <row r="277" spans="1:29">
      <c r="A277" s="21"/>
      <c r="B277" s="21"/>
      <c r="C277" s="21"/>
      <c r="D277" s="21"/>
      <c r="E277" s="21"/>
      <c r="F277" s="21"/>
      <c r="G277" s="21"/>
      <c r="H277" s="21"/>
      <c r="I277" s="21"/>
      <c r="J277" s="86"/>
      <c r="K277" s="70"/>
      <c r="L277" s="24"/>
      <c r="M277" s="86"/>
      <c r="N277" s="66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spans="1:29">
      <c r="A278" s="21"/>
      <c r="B278" s="21"/>
      <c r="C278" s="21"/>
      <c r="D278" s="21"/>
      <c r="E278" s="21"/>
      <c r="F278" s="21"/>
      <c r="G278" s="21"/>
      <c r="H278" s="21"/>
      <c r="I278" s="21"/>
      <c r="J278" s="86"/>
      <c r="K278" s="70"/>
      <c r="L278" s="24"/>
      <c r="M278" s="86"/>
      <c r="N278" s="66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</row>
    <row r="279" spans="1:29">
      <c r="A279" s="21"/>
      <c r="B279" s="21"/>
      <c r="C279" s="21"/>
      <c r="D279" s="21"/>
      <c r="E279" s="21"/>
      <c r="F279" s="21"/>
      <c r="G279" s="21"/>
      <c r="H279" s="21"/>
      <c r="I279" s="21"/>
      <c r="J279" s="86"/>
      <c r="K279" s="70"/>
      <c r="L279" s="24"/>
      <c r="M279" s="86"/>
      <c r="N279" s="66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spans="1:29">
      <c r="A280" s="21"/>
      <c r="B280" s="21"/>
      <c r="C280" s="21"/>
      <c r="D280" s="21"/>
      <c r="E280" s="21"/>
      <c r="F280" s="21"/>
      <c r="G280" s="21"/>
      <c r="H280" s="21"/>
      <c r="I280" s="21"/>
      <c r="J280" s="86"/>
      <c r="K280" s="70"/>
      <c r="L280" s="24"/>
      <c r="M280" s="86"/>
      <c r="N280" s="66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spans="1:29">
      <c r="A281" s="21"/>
      <c r="B281" s="21"/>
      <c r="C281" s="21"/>
      <c r="D281" s="21"/>
      <c r="E281" s="21"/>
      <c r="F281" s="21"/>
      <c r="G281" s="21"/>
      <c r="H281" s="21"/>
      <c r="I281" s="21"/>
      <c r="J281" s="86"/>
      <c r="K281" s="70"/>
      <c r="L281" s="24"/>
      <c r="M281" s="86"/>
      <c r="N281" s="66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1:29">
      <c r="A282" s="21"/>
      <c r="B282" s="21"/>
      <c r="C282" s="21"/>
      <c r="D282" s="21"/>
      <c r="E282" s="21"/>
      <c r="F282" s="21"/>
      <c r="G282" s="21"/>
      <c r="H282" s="21"/>
      <c r="I282" s="21"/>
      <c r="J282" s="86"/>
      <c r="K282" s="70"/>
      <c r="L282" s="24"/>
      <c r="M282" s="86"/>
      <c r="N282" s="66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</row>
    <row r="283" spans="1:29">
      <c r="A283" s="21"/>
      <c r="B283" s="21"/>
      <c r="C283" s="21"/>
      <c r="D283" s="21"/>
      <c r="E283" s="21"/>
      <c r="F283" s="21"/>
      <c r="G283" s="21"/>
      <c r="H283" s="21"/>
      <c r="I283" s="21"/>
      <c r="J283" s="86"/>
      <c r="K283" s="70"/>
      <c r="L283" s="24"/>
      <c r="M283" s="86"/>
      <c r="N283" s="66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</row>
    <row r="284" spans="1:29">
      <c r="A284" s="21"/>
      <c r="B284" s="21"/>
      <c r="C284" s="21"/>
      <c r="D284" s="21"/>
      <c r="E284" s="21"/>
      <c r="F284" s="21"/>
      <c r="G284" s="21"/>
      <c r="H284" s="21"/>
      <c r="I284" s="21"/>
      <c r="J284" s="86"/>
      <c r="K284" s="70"/>
      <c r="L284" s="24"/>
      <c r="M284" s="86"/>
      <c r="N284" s="66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</row>
    <row r="285" spans="1:29">
      <c r="A285" s="21"/>
      <c r="B285" s="21"/>
      <c r="C285" s="21"/>
      <c r="D285" s="21"/>
      <c r="E285" s="21"/>
      <c r="F285" s="21"/>
      <c r="G285" s="21"/>
      <c r="H285" s="21"/>
      <c r="I285" s="21"/>
      <c r="J285" s="86"/>
      <c r="K285" s="70"/>
      <c r="L285" s="24"/>
      <c r="M285" s="86"/>
      <c r="N285" s="66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</row>
    <row r="286" spans="1:29">
      <c r="A286" s="21"/>
      <c r="B286" s="21"/>
      <c r="C286" s="21"/>
      <c r="D286" s="21"/>
      <c r="E286" s="21"/>
      <c r="F286" s="21"/>
      <c r="G286" s="21"/>
      <c r="H286" s="21"/>
      <c r="I286" s="21"/>
      <c r="J286" s="86"/>
      <c r="K286" s="70"/>
      <c r="L286" s="24"/>
      <c r="M286" s="86"/>
      <c r="N286" s="66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</row>
    <row r="287" spans="1:29">
      <c r="A287" s="21"/>
      <c r="B287" s="21"/>
      <c r="C287" s="21"/>
      <c r="D287" s="21"/>
      <c r="E287" s="21"/>
      <c r="F287" s="21"/>
      <c r="G287" s="21"/>
      <c r="H287" s="21"/>
      <c r="I287" s="21"/>
      <c r="J287" s="86"/>
      <c r="K287" s="70"/>
      <c r="L287" s="24"/>
      <c r="M287" s="86"/>
      <c r="N287" s="66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</row>
    <row r="288" spans="1:29">
      <c r="A288" s="21"/>
      <c r="B288" s="21"/>
      <c r="C288" s="21"/>
      <c r="D288" s="21"/>
      <c r="E288" s="21"/>
      <c r="F288" s="21"/>
      <c r="G288" s="21"/>
      <c r="H288" s="21"/>
      <c r="I288" s="21"/>
      <c r="J288" s="86"/>
      <c r="K288" s="70"/>
      <c r="L288" s="24"/>
      <c r="M288" s="86"/>
      <c r="N288" s="66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</row>
    <row r="289" spans="1:29">
      <c r="A289" s="21"/>
      <c r="B289" s="21"/>
      <c r="C289" s="21"/>
      <c r="D289" s="21"/>
      <c r="E289" s="21"/>
      <c r="F289" s="21"/>
      <c r="G289" s="21"/>
      <c r="H289" s="21"/>
      <c r="I289" s="21"/>
      <c r="J289" s="86"/>
      <c r="K289" s="70"/>
      <c r="L289" s="24"/>
      <c r="M289" s="86"/>
      <c r="N289" s="66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</row>
    <row r="290" spans="1:29">
      <c r="A290" s="21"/>
      <c r="B290" s="21"/>
      <c r="C290" s="21"/>
      <c r="D290" s="21"/>
      <c r="E290" s="21"/>
      <c r="F290" s="21"/>
      <c r="G290" s="21"/>
      <c r="H290" s="21"/>
      <c r="I290" s="21"/>
      <c r="J290" s="86"/>
      <c r="K290" s="70"/>
      <c r="L290" s="24"/>
      <c r="M290" s="86"/>
      <c r="N290" s="66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</row>
    <row r="291" spans="1:29">
      <c r="A291" s="21"/>
      <c r="B291" s="21"/>
      <c r="C291" s="21"/>
      <c r="D291" s="21"/>
      <c r="E291" s="21"/>
      <c r="F291" s="21"/>
      <c r="G291" s="21"/>
      <c r="H291" s="21"/>
      <c r="I291" s="21"/>
      <c r="J291" s="86"/>
      <c r="K291" s="70"/>
      <c r="L291" s="24"/>
      <c r="M291" s="86"/>
      <c r="N291" s="66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</row>
    <row r="292" spans="1:29">
      <c r="A292" s="21"/>
      <c r="B292" s="21"/>
      <c r="C292" s="21"/>
      <c r="D292" s="21"/>
      <c r="E292" s="21"/>
      <c r="F292" s="21"/>
      <c r="G292" s="21"/>
      <c r="H292" s="21"/>
      <c r="I292" s="21"/>
      <c r="J292" s="86"/>
      <c r="K292" s="70"/>
      <c r="L292" s="24"/>
      <c r="M292" s="86"/>
      <c r="N292" s="66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</row>
    <row r="293" spans="1:29">
      <c r="A293" s="21"/>
      <c r="B293" s="21"/>
      <c r="C293" s="21"/>
      <c r="D293" s="21"/>
      <c r="E293" s="21"/>
      <c r="F293" s="21"/>
      <c r="G293" s="21"/>
      <c r="H293" s="21"/>
      <c r="I293" s="21"/>
      <c r="J293" s="86"/>
      <c r="K293" s="70"/>
      <c r="L293" s="24"/>
      <c r="M293" s="86"/>
      <c r="N293" s="66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spans="1:29">
      <c r="A294" s="21"/>
      <c r="B294" s="21"/>
      <c r="C294" s="21"/>
      <c r="D294" s="21"/>
      <c r="E294" s="21"/>
      <c r="F294" s="21"/>
      <c r="G294" s="21"/>
      <c r="H294" s="21"/>
      <c r="I294" s="21"/>
      <c r="J294" s="86"/>
      <c r="K294" s="70"/>
      <c r="L294" s="24"/>
      <c r="M294" s="86"/>
      <c r="N294" s="66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</row>
    <row r="295" spans="1:29">
      <c r="A295" s="21"/>
      <c r="B295" s="21"/>
      <c r="C295" s="21"/>
      <c r="D295" s="21"/>
      <c r="E295" s="21"/>
      <c r="F295" s="21"/>
      <c r="G295" s="21"/>
      <c r="H295" s="21"/>
      <c r="I295" s="21"/>
      <c r="J295" s="86"/>
      <c r="K295" s="70"/>
      <c r="L295" s="24"/>
      <c r="M295" s="86"/>
      <c r="N295" s="66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</row>
    <row r="296" spans="1:29">
      <c r="A296" s="21"/>
      <c r="B296" s="21"/>
      <c r="C296" s="21"/>
      <c r="D296" s="21"/>
      <c r="E296" s="21"/>
      <c r="F296" s="21"/>
      <c r="G296" s="21"/>
      <c r="H296" s="21"/>
      <c r="I296" s="21"/>
      <c r="J296" s="86"/>
      <c r="K296" s="70"/>
      <c r="L296" s="24"/>
      <c r="M296" s="86"/>
      <c r="N296" s="66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</row>
    <row r="297" spans="1:29">
      <c r="A297" s="21"/>
      <c r="B297" s="21"/>
      <c r="C297" s="21"/>
      <c r="D297" s="21"/>
      <c r="E297" s="21"/>
      <c r="F297" s="21"/>
      <c r="G297" s="21"/>
      <c r="H297" s="21"/>
      <c r="I297" s="21"/>
      <c r="J297" s="86"/>
      <c r="K297" s="70"/>
      <c r="L297" s="24"/>
      <c r="M297" s="86"/>
      <c r="N297" s="66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</row>
    <row r="298" spans="1:29">
      <c r="A298" s="21"/>
      <c r="B298" s="21"/>
      <c r="C298" s="21"/>
      <c r="D298" s="21"/>
      <c r="E298" s="21"/>
      <c r="F298" s="21"/>
      <c r="G298" s="21"/>
      <c r="H298" s="21"/>
      <c r="I298" s="21"/>
      <c r="J298" s="86"/>
      <c r="K298" s="70"/>
      <c r="L298" s="24"/>
      <c r="M298" s="86"/>
      <c r="N298" s="66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</row>
    <row r="299" spans="1:29">
      <c r="A299" s="21"/>
      <c r="B299" s="21"/>
      <c r="C299" s="21"/>
      <c r="D299" s="21"/>
      <c r="E299" s="21"/>
      <c r="F299" s="21"/>
      <c r="G299" s="21"/>
      <c r="H299" s="21"/>
      <c r="I299" s="21"/>
      <c r="J299" s="86"/>
      <c r="K299" s="70"/>
      <c r="L299" s="24"/>
      <c r="M299" s="86"/>
      <c r="N299" s="66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</row>
    <row r="300" spans="1:29">
      <c r="A300" s="21"/>
      <c r="B300" s="21"/>
      <c r="C300" s="21"/>
      <c r="D300" s="21"/>
      <c r="E300" s="21"/>
      <c r="F300" s="21"/>
      <c r="G300" s="21"/>
      <c r="H300" s="21"/>
      <c r="I300" s="21"/>
      <c r="J300" s="86"/>
      <c r="K300" s="70"/>
      <c r="L300" s="24"/>
      <c r="M300" s="86"/>
      <c r="N300" s="66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</row>
    <row r="301" spans="1:29">
      <c r="A301" s="21"/>
      <c r="B301" s="21"/>
      <c r="C301" s="21"/>
      <c r="D301" s="21"/>
      <c r="E301" s="21"/>
      <c r="F301" s="21"/>
      <c r="G301" s="21"/>
      <c r="H301" s="21"/>
      <c r="I301" s="21"/>
      <c r="J301" s="86"/>
      <c r="K301" s="70"/>
      <c r="L301" s="24"/>
      <c r="M301" s="86"/>
      <c r="N301" s="66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</row>
    <row r="302" spans="1:29">
      <c r="A302" s="21"/>
      <c r="B302" s="21"/>
      <c r="C302" s="21"/>
      <c r="D302" s="21"/>
      <c r="E302" s="21"/>
      <c r="F302" s="21"/>
      <c r="G302" s="21"/>
      <c r="H302" s="21"/>
      <c r="I302" s="21"/>
      <c r="J302" s="86"/>
      <c r="K302" s="70"/>
      <c r="L302" s="24"/>
      <c r="M302" s="86"/>
      <c r="N302" s="66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</row>
    <row r="303" spans="1:29">
      <c r="A303" s="21"/>
      <c r="B303" s="21"/>
      <c r="C303" s="21"/>
      <c r="D303" s="21"/>
      <c r="E303" s="21"/>
      <c r="F303" s="21"/>
      <c r="G303" s="21"/>
      <c r="H303" s="21"/>
      <c r="I303" s="21"/>
      <c r="J303" s="86"/>
      <c r="K303" s="70"/>
      <c r="L303" s="24"/>
      <c r="M303" s="86"/>
      <c r="N303" s="66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spans="1:29">
      <c r="A304" s="21"/>
      <c r="B304" s="21"/>
      <c r="C304" s="21"/>
      <c r="D304" s="21"/>
      <c r="E304" s="21"/>
      <c r="F304" s="21"/>
      <c r="G304" s="21"/>
      <c r="H304" s="21"/>
      <c r="I304" s="21"/>
      <c r="J304" s="86"/>
      <c r="K304" s="70"/>
      <c r="L304" s="24"/>
      <c r="M304" s="86"/>
      <c r="N304" s="66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</row>
    <row r="305" spans="1:29">
      <c r="A305" s="21"/>
      <c r="B305" s="21"/>
      <c r="C305" s="21"/>
      <c r="D305" s="21"/>
      <c r="E305" s="21"/>
      <c r="F305" s="21"/>
      <c r="G305" s="21"/>
      <c r="H305" s="21"/>
      <c r="I305" s="21"/>
      <c r="J305" s="86"/>
      <c r="K305" s="70"/>
      <c r="L305" s="24"/>
      <c r="M305" s="86"/>
      <c r="N305" s="66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spans="1:29">
      <c r="A306" s="21"/>
      <c r="B306" s="21"/>
      <c r="C306" s="21"/>
      <c r="D306" s="21"/>
      <c r="E306" s="21"/>
      <c r="F306" s="21"/>
      <c r="G306" s="21"/>
      <c r="H306" s="21"/>
      <c r="I306" s="21"/>
      <c r="J306" s="86"/>
      <c r="K306" s="70"/>
      <c r="L306" s="24"/>
      <c r="M306" s="86"/>
      <c r="N306" s="66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</row>
    <row r="307" spans="1:29">
      <c r="A307" s="21"/>
      <c r="B307" s="21"/>
      <c r="C307" s="21"/>
      <c r="D307" s="21"/>
      <c r="E307" s="21"/>
      <c r="F307" s="21"/>
      <c r="G307" s="21"/>
      <c r="H307" s="21"/>
      <c r="I307" s="21"/>
      <c r="J307" s="86"/>
      <c r="K307" s="70"/>
      <c r="L307" s="24"/>
      <c r="M307" s="86"/>
      <c r="N307" s="66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spans="1:29">
      <c r="A308" s="21"/>
      <c r="B308" s="21"/>
      <c r="C308" s="21"/>
      <c r="D308" s="21"/>
      <c r="E308" s="21"/>
      <c r="F308" s="21"/>
      <c r="G308" s="21"/>
      <c r="H308" s="21"/>
      <c r="I308" s="21"/>
      <c r="J308" s="86"/>
      <c r="K308" s="70"/>
      <c r="L308" s="24"/>
      <c r="M308" s="86"/>
      <c r="N308" s="66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</row>
    <row r="309" spans="1:29">
      <c r="A309" s="21"/>
      <c r="B309" s="21"/>
      <c r="C309" s="21"/>
      <c r="D309" s="21"/>
      <c r="E309" s="21"/>
      <c r="F309" s="21"/>
      <c r="G309" s="21"/>
      <c r="H309" s="21"/>
      <c r="I309" s="21"/>
      <c r="J309" s="86"/>
      <c r="K309" s="70"/>
      <c r="L309" s="24"/>
      <c r="M309" s="86"/>
      <c r="N309" s="66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</row>
    <row r="310" spans="1:29">
      <c r="A310" s="21"/>
      <c r="B310" s="21"/>
      <c r="C310" s="21"/>
      <c r="D310" s="21"/>
      <c r="E310" s="21"/>
      <c r="F310" s="21"/>
      <c r="G310" s="21"/>
      <c r="H310" s="21"/>
      <c r="I310" s="21"/>
      <c r="J310" s="86"/>
      <c r="K310" s="70"/>
      <c r="L310" s="24"/>
      <c r="M310" s="86"/>
      <c r="N310" s="66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</row>
    <row r="311" spans="1:29">
      <c r="A311" s="21"/>
      <c r="B311" s="21"/>
      <c r="C311" s="21"/>
      <c r="D311" s="21"/>
      <c r="E311" s="21"/>
      <c r="F311" s="21"/>
      <c r="G311" s="21"/>
      <c r="H311" s="21"/>
      <c r="I311" s="21"/>
      <c r="J311" s="86"/>
      <c r="K311" s="70"/>
      <c r="L311" s="24"/>
      <c r="M311" s="86"/>
      <c r="N311" s="66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</row>
    <row r="312" spans="1:29">
      <c r="A312" s="21"/>
      <c r="B312" s="21"/>
      <c r="C312" s="21"/>
      <c r="D312" s="21"/>
      <c r="E312" s="21"/>
      <c r="F312" s="21"/>
      <c r="G312" s="21"/>
      <c r="H312" s="21"/>
      <c r="I312" s="21"/>
      <c r="J312" s="86"/>
      <c r="K312" s="70"/>
      <c r="L312" s="24"/>
      <c r="M312" s="86"/>
      <c r="N312" s="66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</row>
    <row r="313" spans="1:29">
      <c r="A313" s="21"/>
      <c r="B313" s="21"/>
      <c r="C313" s="21"/>
      <c r="D313" s="21"/>
      <c r="E313" s="21"/>
      <c r="F313" s="21"/>
      <c r="G313" s="21"/>
      <c r="H313" s="21"/>
      <c r="I313" s="21"/>
      <c r="J313" s="86"/>
      <c r="K313" s="70"/>
      <c r="L313" s="24"/>
      <c r="M313" s="86"/>
      <c r="N313" s="66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</row>
    <row r="314" spans="1:29">
      <c r="A314" s="21"/>
      <c r="B314" s="21"/>
      <c r="C314" s="21"/>
      <c r="D314" s="21"/>
      <c r="E314" s="21"/>
      <c r="F314" s="21"/>
      <c r="G314" s="21"/>
      <c r="H314" s="21"/>
      <c r="I314" s="21"/>
      <c r="J314" s="86"/>
      <c r="K314" s="70"/>
      <c r="L314" s="24"/>
      <c r="M314" s="86"/>
      <c r="N314" s="66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</row>
    <row r="315" spans="1:29">
      <c r="A315" s="21"/>
      <c r="B315" s="21"/>
      <c r="C315" s="21"/>
      <c r="D315" s="21"/>
      <c r="E315" s="21"/>
      <c r="F315" s="21"/>
      <c r="G315" s="21"/>
      <c r="H315" s="21"/>
      <c r="I315" s="21"/>
      <c r="J315" s="86"/>
      <c r="K315" s="70"/>
      <c r="L315" s="24"/>
      <c r="M315" s="86"/>
      <c r="N315" s="66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</row>
    <row r="316" spans="1:29">
      <c r="A316" s="21"/>
      <c r="B316" s="21"/>
      <c r="C316" s="21"/>
      <c r="D316" s="21"/>
      <c r="E316" s="21"/>
      <c r="F316" s="21"/>
      <c r="G316" s="21"/>
      <c r="H316" s="21"/>
      <c r="I316" s="21"/>
      <c r="J316" s="86"/>
      <c r="K316" s="70"/>
      <c r="L316" s="24"/>
      <c r="M316" s="86"/>
      <c r="N316" s="66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</row>
    <row r="317" spans="1:29">
      <c r="A317" s="21"/>
      <c r="B317" s="21"/>
      <c r="C317" s="21"/>
      <c r="D317" s="21"/>
      <c r="E317" s="21"/>
      <c r="F317" s="21"/>
      <c r="G317" s="21"/>
      <c r="H317" s="21"/>
      <c r="I317" s="21"/>
      <c r="J317" s="86"/>
      <c r="K317" s="70"/>
      <c r="L317" s="24"/>
      <c r="M317" s="86"/>
      <c r="N317" s="66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</row>
    <row r="318" spans="1:29">
      <c r="A318" s="21"/>
      <c r="B318" s="21"/>
      <c r="C318" s="21"/>
      <c r="D318" s="21"/>
      <c r="E318" s="21"/>
      <c r="F318" s="21"/>
      <c r="G318" s="21"/>
      <c r="H318" s="21"/>
      <c r="I318" s="21"/>
      <c r="J318" s="86"/>
      <c r="K318" s="70"/>
      <c r="L318" s="24"/>
      <c r="M318" s="86"/>
      <c r="N318" s="66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</row>
    <row r="319" spans="1:29">
      <c r="A319" s="21"/>
      <c r="B319" s="21"/>
      <c r="C319" s="21"/>
      <c r="D319" s="21"/>
      <c r="E319" s="21"/>
      <c r="F319" s="21"/>
      <c r="G319" s="21"/>
      <c r="H319" s="21"/>
      <c r="I319" s="21"/>
      <c r="J319" s="86"/>
      <c r="K319" s="70"/>
      <c r="L319" s="24"/>
      <c r="M319" s="86"/>
      <c r="N319" s="66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</row>
    <row r="320" spans="1:29">
      <c r="A320" s="21"/>
      <c r="B320" s="21"/>
      <c r="C320" s="21"/>
      <c r="D320" s="21"/>
      <c r="E320" s="21"/>
      <c r="F320" s="21"/>
      <c r="G320" s="21"/>
      <c r="H320" s="21"/>
      <c r="I320" s="21"/>
      <c r="J320" s="86"/>
      <c r="K320" s="70"/>
      <c r="L320" s="24"/>
      <c r="M320" s="86"/>
      <c r="N320" s="66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</row>
    <row r="321" spans="1:29">
      <c r="A321" s="21"/>
      <c r="B321" s="21"/>
      <c r="C321" s="21"/>
      <c r="D321" s="21"/>
      <c r="E321" s="21"/>
      <c r="F321" s="21"/>
      <c r="G321" s="21"/>
      <c r="H321" s="21"/>
      <c r="I321" s="21"/>
      <c r="J321" s="86"/>
      <c r="K321" s="70"/>
      <c r="L321" s="24"/>
      <c r="M321" s="86"/>
      <c r="N321" s="66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</row>
    <row r="322" spans="1:29">
      <c r="A322" s="21"/>
      <c r="B322" s="21"/>
      <c r="C322" s="21"/>
      <c r="D322" s="21"/>
      <c r="E322" s="21"/>
      <c r="F322" s="21"/>
      <c r="G322" s="21"/>
      <c r="H322" s="21"/>
      <c r="I322" s="21"/>
      <c r="J322" s="86"/>
      <c r="K322" s="70"/>
      <c r="L322" s="24"/>
      <c r="M322" s="86"/>
      <c r="N322" s="66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</row>
    <row r="323" spans="1:29">
      <c r="A323" s="21"/>
      <c r="B323" s="21"/>
      <c r="C323" s="21"/>
      <c r="D323" s="21"/>
      <c r="E323" s="21"/>
      <c r="F323" s="21"/>
      <c r="G323" s="21"/>
      <c r="H323" s="21"/>
      <c r="I323" s="21"/>
      <c r="J323" s="86"/>
      <c r="K323" s="70"/>
      <c r="L323" s="24"/>
      <c r="M323" s="86"/>
      <c r="N323" s="66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</row>
    <row r="324" spans="1:29">
      <c r="A324" s="21"/>
      <c r="B324" s="21"/>
      <c r="C324" s="21"/>
      <c r="D324" s="21"/>
      <c r="E324" s="21"/>
      <c r="F324" s="21"/>
      <c r="G324" s="21"/>
      <c r="H324" s="21"/>
      <c r="I324" s="21"/>
      <c r="J324" s="86"/>
      <c r="K324" s="70"/>
      <c r="L324" s="24"/>
      <c r="M324" s="86"/>
      <c r="N324" s="66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</row>
    <row r="325" spans="1:29">
      <c r="A325" s="21"/>
      <c r="B325" s="21"/>
      <c r="C325" s="21"/>
      <c r="D325" s="21"/>
      <c r="E325" s="21"/>
      <c r="F325" s="21"/>
      <c r="G325" s="21"/>
      <c r="H325" s="21"/>
      <c r="I325" s="21"/>
      <c r="J325" s="86"/>
      <c r="K325" s="70"/>
      <c r="L325" s="24"/>
      <c r="M325" s="86"/>
      <c r="N325" s="66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</row>
    <row r="326" spans="1:29">
      <c r="A326" s="21"/>
      <c r="B326" s="21"/>
      <c r="C326" s="21"/>
      <c r="D326" s="21"/>
      <c r="E326" s="21"/>
      <c r="F326" s="21"/>
      <c r="G326" s="21"/>
      <c r="H326" s="21"/>
      <c r="I326" s="21"/>
      <c r="J326" s="86"/>
      <c r="K326" s="70"/>
      <c r="L326" s="24"/>
      <c r="M326" s="86"/>
      <c r="N326" s="66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</row>
    <row r="327" spans="1:29">
      <c r="A327" s="21"/>
      <c r="B327" s="21"/>
      <c r="C327" s="21"/>
      <c r="D327" s="21"/>
      <c r="E327" s="21"/>
      <c r="F327" s="21"/>
      <c r="G327" s="21"/>
      <c r="H327" s="21"/>
      <c r="I327" s="21"/>
      <c r="J327" s="86"/>
      <c r="K327" s="70"/>
      <c r="L327" s="24"/>
      <c r="M327" s="86"/>
      <c r="N327" s="66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spans="1:29">
      <c r="A328" s="21"/>
      <c r="B328" s="21"/>
      <c r="C328" s="21"/>
      <c r="D328" s="21"/>
      <c r="E328" s="21"/>
      <c r="F328" s="21"/>
      <c r="G328" s="21"/>
      <c r="H328" s="21"/>
      <c r="I328" s="21"/>
      <c r="J328" s="86"/>
      <c r="K328" s="70"/>
      <c r="L328" s="24"/>
      <c r="M328" s="86"/>
      <c r="N328" s="66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</row>
    <row r="329" spans="1:29">
      <c r="A329" s="21"/>
      <c r="B329" s="21"/>
      <c r="C329" s="21"/>
      <c r="D329" s="21"/>
      <c r="E329" s="21"/>
      <c r="F329" s="21"/>
      <c r="G329" s="21"/>
      <c r="H329" s="21"/>
      <c r="I329" s="21"/>
      <c r="J329" s="86"/>
      <c r="K329" s="70"/>
      <c r="L329" s="24"/>
      <c r="M329" s="86"/>
      <c r="N329" s="66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</row>
    <row r="330" spans="1:29">
      <c r="A330" s="21"/>
      <c r="B330" s="21"/>
      <c r="C330" s="21"/>
      <c r="D330" s="21"/>
      <c r="E330" s="21"/>
      <c r="F330" s="21"/>
      <c r="G330" s="21"/>
      <c r="H330" s="21"/>
      <c r="I330" s="21"/>
      <c r="J330" s="86"/>
      <c r="K330" s="70"/>
      <c r="L330" s="24"/>
      <c r="M330" s="86"/>
      <c r="N330" s="66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</row>
    <row r="331" spans="1:29">
      <c r="A331" s="21"/>
      <c r="B331" s="21"/>
      <c r="C331" s="21"/>
      <c r="D331" s="21"/>
      <c r="E331" s="21"/>
      <c r="F331" s="21"/>
      <c r="G331" s="21"/>
      <c r="H331" s="21"/>
      <c r="I331" s="21"/>
      <c r="J331" s="86"/>
      <c r="K331" s="70"/>
      <c r="L331" s="24"/>
      <c r="M331" s="86"/>
      <c r="N331" s="66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</row>
    <row r="332" spans="1:29">
      <c r="A332" s="21"/>
      <c r="B332" s="21"/>
      <c r="C332" s="21"/>
      <c r="D332" s="21"/>
      <c r="E332" s="21"/>
      <c r="F332" s="21"/>
      <c r="G332" s="21"/>
      <c r="H332" s="21"/>
      <c r="I332" s="21"/>
      <c r="J332" s="86"/>
      <c r="K332" s="70"/>
      <c r="L332" s="24"/>
      <c r="M332" s="86"/>
      <c r="N332" s="66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</row>
    <row r="333" spans="1:29">
      <c r="A333" s="21"/>
      <c r="B333" s="21"/>
      <c r="C333" s="21"/>
      <c r="D333" s="21"/>
      <c r="E333" s="21"/>
      <c r="F333" s="21"/>
      <c r="G333" s="21"/>
      <c r="H333" s="21"/>
      <c r="I333" s="21"/>
      <c r="J333" s="86"/>
      <c r="K333" s="70"/>
      <c r="L333" s="24"/>
      <c r="M333" s="86"/>
      <c r="N333" s="66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</row>
    <row r="334" spans="1:29">
      <c r="A334" s="21"/>
      <c r="B334" s="21"/>
      <c r="C334" s="21"/>
      <c r="D334" s="21"/>
      <c r="E334" s="21"/>
      <c r="F334" s="21"/>
      <c r="G334" s="21"/>
      <c r="H334" s="21"/>
      <c r="I334" s="21"/>
      <c r="J334" s="86"/>
      <c r="K334" s="70"/>
      <c r="L334" s="24"/>
      <c r="M334" s="86"/>
      <c r="N334" s="66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</row>
    <row r="335" spans="1:29">
      <c r="A335" s="21"/>
      <c r="B335" s="21"/>
      <c r="C335" s="21"/>
      <c r="D335" s="21"/>
      <c r="E335" s="21"/>
      <c r="F335" s="21"/>
      <c r="G335" s="21"/>
      <c r="H335" s="21"/>
      <c r="I335" s="21"/>
      <c r="J335" s="86"/>
      <c r="K335" s="70"/>
      <c r="L335" s="24"/>
      <c r="M335" s="86"/>
      <c r="N335" s="66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</row>
    <row r="336" spans="1:29">
      <c r="A336" s="21"/>
      <c r="B336" s="21"/>
      <c r="C336" s="21"/>
      <c r="D336" s="21"/>
      <c r="E336" s="21"/>
      <c r="F336" s="21"/>
      <c r="G336" s="21"/>
      <c r="H336" s="21"/>
      <c r="I336" s="21"/>
      <c r="J336" s="86"/>
      <c r="K336" s="70"/>
      <c r="L336" s="24"/>
      <c r="M336" s="86"/>
      <c r="N336" s="66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</row>
    <row r="337" spans="1:29">
      <c r="A337" s="21"/>
      <c r="B337" s="21"/>
      <c r="C337" s="21"/>
      <c r="D337" s="21"/>
      <c r="E337" s="21"/>
      <c r="F337" s="21"/>
      <c r="G337" s="21"/>
      <c r="H337" s="21"/>
      <c r="I337" s="21"/>
      <c r="J337" s="86"/>
      <c r="K337" s="70"/>
      <c r="L337" s="24"/>
      <c r="M337" s="86"/>
      <c r="N337" s="66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spans="1:29">
      <c r="A338" s="21"/>
      <c r="B338" s="21"/>
      <c r="C338" s="21"/>
      <c r="D338" s="21"/>
      <c r="E338" s="21"/>
      <c r="F338" s="21"/>
      <c r="G338" s="21"/>
      <c r="H338" s="21"/>
      <c r="I338" s="21"/>
      <c r="J338" s="86"/>
      <c r="K338" s="70"/>
      <c r="L338" s="24"/>
      <c r="M338" s="86"/>
      <c r="N338" s="66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</row>
    <row r="339" spans="1:29">
      <c r="A339" s="21"/>
      <c r="B339" s="21"/>
      <c r="C339" s="21"/>
      <c r="D339" s="21"/>
      <c r="E339" s="21"/>
      <c r="F339" s="21"/>
      <c r="G339" s="21"/>
      <c r="H339" s="21"/>
      <c r="I339" s="21"/>
      <c r="J339" s="86"/>
      <c r="K339" s="70"/>
      <c r="L339" s="24"/>
      <c r="M339" s="86"/>
      <c r="N339" s="66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</row>
    <row r="340" spans="1:29">
      <c r="A340" s="21"/>
      <c r="B340" s="21"/>
      <c r="C340" s="21"/>
      <c r="D340" s="21"/>
      <c r="E340" s="21"/>
      <c r="F340" s="21"/>
      <c r="G340" s="21"/>
      <c r="H340" s="21"/>
      <c r="I340" s="21"/>
      <c r="J340" s="86"/>
      <c r="K340" s="70"/>
      <c r="L340" s="24"/>
      <c r="M340" s="86"/>
      <c r="N340" s="66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</row>
    <row r="341" spans="1:29">
      <c r="A341" s="21"/>
      <c r="B341" s="21"/>
      <c r="C341" s="21"/>
      <c r="D341" s="21"/>
      <c r="E341" s="21"/>
      <c r="F341" s="21"/>
      <c r="G341" s="21"/>
      <c r="H341" s="21"/>
      <c r="I341" s="21"/>
      <c r="J341" s="86"/>
      <c r="K341" s="70"/>
      <c r="L341" s="24"/>
      <c r="M341" s="86"/>
      <c r="N341" s="66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</row>
    <row r="342" spans="1:29">
      <c r="A342" s="21"/>
      <c r="B342" s="21"/>
      <c r="C342" s="21"/>
      <c r="D342" s="21"/>
      <c r="E342" s="21"/>
      <c r="F342" s="21"/>
      <c r="G342" s="21"/>
      <c r="H342" s="21"/>
      <c r="I342" s="21"/>
      <c r="J342" s="86"/>
      <c r="K342" s="70"/>
      <c r="L342" s="24"/>
      <c r="M342" s="86"/>
      <c r="N342" s="66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</row>
    <row r="343" spans="1:29">
      <c r="A343" s="21"/>
      <c r="B343" s="21"/>
      <c r="C343" s="21"/>
      <c r="D343" s="21"/>
      <c r="E343" s="21"/>
      <c r="F343" s="21"/>
      <c r="G343" s="21"/>
      <c r="H343" s="21"/>
      <c r="I343" s="21"/>
      <c r="J343" s="86"/>
      <c r="K343" s="70"/>
      <c r="L343" s="24"/>
      <c r="M343" s="86"/>
      <c r="N343" s="66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</row>
    <row r="344" spans="1:29">
      <c r="A344" s="21"/>
      <c r="B344" s="21"/>
      <c r="C344" s="21"/>
      <c r="D344" s="21"/>
      <c r="E344" s="21"/>
      <c r="F344" s="21"/>
      <c r="G344" s="21"/>
      <c r="H344" s="21"/>
      <c r="I344" s="21"/>
      <c r="J344" s="86"/>
      <c r="K344" s="70"/>
      <c r="L344" s="24"/>
      <c r="M344" s="86"/>
      <c r="N344" s="66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</row>
    <row r="345" spans="1:29">
      <c r="A345" s="21"/>
      <c r="B345" s="21"/>
      <c r="C345" s="21"/>
      <c r="D345" s="21"/>
      <c r="E345" s="21"/>
      <c r="F345" s="21"/>
      <c r="G345" s="21"/>
      <c r="H345" s="21"/>
      <c r="I345" s="21"/>
      <c r="J345" s="86"/>
      <c r="K345" s="70"/>
      <c r="L345" s="24"/>
      <c r="M345" s="86"/>
      <c r="N345" s="66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spans="1:29">
      <c r="A346" s="21"/>
      <c r="B346" s="21"/>
      <c r="C346" s="21"/>
      <c r="D346" s="21"/>
      <c r="E346" s="21"/>
      <c r="F346" s="21"/>
      <c r="G346" s="21"/>
      <c r="H346" s="21"/>
      <c r="I346" s="21"/>
      <c r="J346" s="86"/>
      <c r="K346" s="70"/>
      <c r="L346" s="24"/>
      <c r="M346" s="86"/>
      <c r="N346" s="66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</row>
    <row r="347" spans="1:29">
      <c r="A347" s="21"/>
      <c r="B347" s="21"/>
      <c r="C347" s="21"/>
      <c r="D347" s="21"/>
      <c r="E347" s="21"/>
      <c r="F347" s="21"/>
      <c r="G347" s="21"/>
      <c r="H347" s="21"/>
      <c r="I347" s="21"/>
      <c r="J347" s="86"/>
      <c r="K347" s="70"/>
      <c r="L347" s="24"/>
      <c r="M347" s="86"/>
      <c r="N347" s="66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</row>
    <row r="348" spans="1:29">
      <c r="A348" s="21"/>
      <c r="B348" s="21"/>
      <c r="C348" s="21"/>
      <c r="D348" s="21"/>
      <c r="E348" s="21"/>
      <c r="F348" s="21"/>
      <c r="G348" s="21"/>
      <c r="H348" s="21"/>
      <c r="I348" s="21"/>
      <c r="J348" s="86"/>
      <c r="K348" s="70"/>
      <c r="L348" s="24"/>
      <c r="M348" s="86"/>
      <c r="N348" s="66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</row>
    <row r="349" spans="1:29">
      <c r="A349" s="21"/>
      <c r="B349" s="21"/>
      <c r="C349" s="21"/>
      <c r="D349" s="21"/>
      <c r="E349" s="21"/>
      <c r="F349" s="21"/>
      <c r="G349" s="21"/>
      <c r="H349" s="21"/>
      <c r="I349" s="21"/>
      <c r="J349" s="86"/>
      <c r="K349" s="70"/>
      <c r="L349" s="24"/>
      <c r="M349" s="86"/>
      <c r="N349" s="66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</row>
    <row r="350" spans="1:29">
      <c r="A350" s="21"/>
      <c r="B350" s="21"/>
      <c r="C350" s="21"/>
      <c r="D350" s="21"/>
      <c r="E350" s="21"/>
      <c r="F350" s="21"/>
      <c r="G350" s="21"/>
      <c r="H350" s="21"/>
      <c r="I350" s="21"/>
      <c r="J350" s="86"/>
      <c r="K350" s="70"/>
      <c r="L350" s="24"/>
      <c r="M350" s="86"/>
      <c r="N350" s="66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</row>
    <row r="351" spans="1:29">
      <c r="A351" s="21"/>
      <c r="B351" s="21"/>
      <c r="C351" s="21"/>
      <c r="D351" s="21"/>
      <c r="E351" s="21"/>
      <c r="F351" s="21"/>
      <c r="G351" s="21"/>
      <c r="H351" s="21"/>
      <c r="I351" s="21"/>
      <c r="J351" s="86"/>
      <c r="K351" s="70"/>
      <c r="L351" s="24"/>
      <c r="M351" s="86"/>
      <c r="N351" s="66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</row>
    <row r="352" spans="1:29">
      <c r="A352" s="21"/>
      <c r="B352" s="21"/>
      <c r="C352" s="21"/>
      <c r="D352" s="21"/>
      <c r="E352" s="21"/>
      <c r="F352" s="21"/>
      <c r="G352" s="21"/>
      <c r="H352" s="21"/>
      <c r="I352" s="21"/>
      <c r="J352" s="86"/>
      <c r="K352" s="70"/>
      <c r="L352" s="24"/>
      <c r="M352" s="86"/>
      <c r="N352" s="66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</row>
    <row r="353" spans="1:29">
      <c r="A353" s="21"/>
      <c r="B353" s="21"/>
      <c r="C353" s="21"/>
      <c r="D353" s="21"/>
      <c r="E353" s="21"/>
      <c r="F353" s="21"/>
      <c r="G353" s="21"/>
      <c r="H353" s="21"/>
      <c r="I353" s="21"/>
      <c r="J353" s="86"/>
      <c r="K353" s="70"/>
      <c r="L353" s="24"/>
      <c r="M353" s="86"/>
      <c r="N353" s="66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spans="1:29">
      <c r="A354" s="21"/>
      <c r="B354" s="21"/>
      <c r="C354" s="21"/>
      <c r="D354" s="21"/>
      <c r="E354" s="21"/>
      <c r="F354" s="21"/>
      <c r="G354" s="21"/>
      <c r="H354" s="21"/>
      <c r="I354" s="21"/>
      <c r="J354" s="86"/>
      <c r="K354" s="70"/>
      <c r="L354" s="24"/>
      <c r="M354" s="86"/>
      <c r="N354" s="66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</row>
    <row r="355" spans="1:29">
      <c r="A355" s="21"/>
      <c r="B355" s="21"/>
      <c r="C355" s="21"/>
      <c r="D355" s="21"/>
      <c r="E355" s="21"/>
      <c r="F355" s="21"/>
      <c r="G355" s="21"/>
      <c r="H355" s="21"/>
      <c r="I355" s="21"/>
      <c r="J355" s="86"/>
      <c r="K355" s="70"/>
      <c r="L355" s="24"/>
      <c r="M355" s="86"/>
      <c r="N355" s="66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</row>
    <row r="356" spans="1:29">
      <c r="A356" s="21"/>
      <c r="B356" s="21"/>
      <c r="C356" s="21"/>
      <c r="D356" s="21"/>
      <c r="E356" s="21"/>
      <c r="F356" s="21"/>
      <c r="G356" s="21"/>
      <c r="H356" s="21"/>
      <c r="I356" s="21"/>
      <c r="J356" s="86"/>
      <c r="K356" s="70"/>
      <c r="L356" s="24"/>
      <c r="M356" s="86"/>
      <c r="N356" s="66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</row>
    <row r="357" spans="1:29">
      <c r="A357" s="21"/>
      <c r="B357" s="21"/>
      <c r="C357" s="21"/>
      <c r="D357" s="21"/>
      <c r="E357" s="21"/>
      <c r="F357" s="21"/>
      <c r="G357" s="21"/>
      <c r="H357" s="21"/>
      <c r="I357" s="21"/>
      <c r="J357" s="86"/>
      <c r="K357" s="70"/>
      <c r="L357" s="24"/>
      <c r="M357" s="86"/>
      <c r="N357" s="66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</row>
    <row r="358" spans="1:29">
      <c r="A358" s="21"/>
      <c r="B358" s="21"/>
      <c r="C358" s="21"/>
      <c r="D358" s="21"/>
      <c r="E358" s="21"/>
      <c r="F358" s="21"/>
      <c r="G358" s="21"/>
      <c r="H358" s="21"/>
      <c r="I358" s="21"/>
      <c r="J358" s="86"/>
      <c r="K358" s="70"/>
      <c r="L358" s="24"/>
      <c r="M358" s="86"/>
      <c r="N358" s="66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</row>
    <row r="359" spans="1:29">
      <c r="A359" s="21"/>
      <c r="B359" s="21"/>
      <c r="C359" s="21"/>
      <c r="D359" s="21"/>
      <c r="E359" s="21"/>
      <c r="F359" s="21"/>
      <c r="G359" s="21"/>
      <c r="H359" s="21"/>
      <c r="I359" s="21"/>
      <c r="J359" s="86"/>
      <c r="K359" s="70"/>
      <c r="L359" s="24"/>
      <c r="M359" s="86"/>
      <c r="N359" s="66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</row>
    <row r="360" spans="1:29">
      <c r="A360" s="21"/>
      <c r="B360" s="21"/>
      <c r="C360" s="21"/>
      <c r="D360" s="21"/>
      <c r="E360" s="21"/>
      <c r="F360" s="21"/>
      <c r="G360" s="21"/>
      <c r="H360" s="21"/>
      <c r="I360" s="21"/>
      <c r="J360" s="86"/>
      <c r="K360" s="70"/>
      <c r="L360" s="24"/>
      <c r="M360" s="86"/>
      <c r="N360" s="66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</row>
    <row r="361" spans="1:29">
      <c r="A361" s="21"/>
      <c r="B361" s="21"/>
      <c r="C361" s="21"/>
      <c r="D361" s="21"/>
      <c r="E361" s="21"/>
      <c r="F361" s="21"/>
      <c r="G361" s="21"/>
      <c r="H361" s="21"/>
      <c r="I361" s="21"/>
      <c r="J361" s="86"/>
      <c r="K361" s="70"/>
      <c r="L361" s="24"/>
      <c r="M361" s="86"/>
      <c r="N361" s="66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</row>
    <row r="362" spans="1:29">
      <c r="A362" s="21"/>
      <c r="B362" s="21"/>
      <c r="C362" s="21"/>
      <c r="D362" s="21"/>
      <c r="E362" s="21"/>
      <c r="F362" s="21"/>
      <c r="G362" s="21"/>
      <c r="H362" s="21"/>
      <c r="I362" s="21"/>
      <c r="J362" s="86"/>
      <c r="K362" s="70"/>
      <c r="L362" s="24"/>
      <c r="M362" s="86"/>
      <c r="N362" s="66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</row>
    <row r="363" spans="1:29">
      <c r="A363" s="21"/>
      <c r="B363" s="21"/>
      <c r="C363" s="21"/>
      <c r="D363" s="21"/>
      <c r="E363" s="21"/>
      <c r="F363" s="21"/>
      <c r="G363" s="21"/>
      <c r="H363" s="21"/>
      <c r="I363" s="21"/>
      <c r="J363" s="86"/>
      <c r="K363" s="70"/>
      <c r="L363" s="24"/>
      <c r="M363" s="86"/>
      <c r="N363" s="66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</row>
    <row r="364" spans="1:29">
      <c r="A364" s="21"/>
      <c r="B364" s="21"/>
      <c r="C364" s="21"/>
      <c r="D364" s="21"/>
      <c r="E364" s="21"/>
      <c r="F364" s="21"/>
      <c r="G364" s="21"/>
      <c r="H364" s="21"/>
      <c r="I364" s="21"/>
      <c r="J364" s="86"/>
      <c r="K364" s="70"/>
      <c r="L364" s="24"/>
      <c r="M364" s="86"/>
      <c r="N364" s="66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</row>
    <row r="365" spans="1:29">
      <c r="A365" s="21"/>
      <c r="B365" s="21"/>
      <c r="C365" s="21"/>
      <c r="D365" s="21"/>
      <c r="E365" s="21"/>
      <c r="F365" s="21"/>
      <c r="G365" s="21"/>
      <c r="H365" s="21"/>
      <c r="I365" s="21"/>
      <c r="J365" s="86"/>
      <c r="K365" s="70"/>
      <c r="L365" s="24"/>
      <c r="M365" s="86"/>
      <c r="N365" s="66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</row>
    <row r="366" spans="1:29">
      <c r="A366" s="21"/>
      <c r="B366" s="21"/>
      <c r="C366" s="21"/>
      <c r="D366" s="21"/>
      <c r="E366" s="21"/>
      <c r="F366" s="21"/>
      <c r="G366" s="21"/>
      <c r="H366" s="21"/>
      <c r="I366" s="21"/>
      <c r="J366" s="86"/>
      <c r="K366" s="70"/>
      <c r="L366" s="24"/>
      <c r="M366" s="86"/>
      <c r="N366" s="66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</row>
    <row r="367" spans="1:29">
      <c r="A367" s="21"/>
      <c r="B367" s="21"/>
      <c r="C367" s="21"/>
      <c r="D367" s="21"/>
      <c r="E367" s="21"/>
      <c r="F367" s="21"/>
      <c r="G367" s="21"/>
      <c r="H367" s="21"/>
      <c r="I367" s="21"/>
      <c r="J367" s="86"/>
      <c r="K367" s="70"/>
      <c r="L367" s="24"/>
      <c r="M367" s="86"/>
      <c r="N367" s="66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</row>
    <row r="368" spans="1:29">
      <c r="A368" s="21"/>
      <c r="B368" s="21"/>
      <c r="C368" s="21"/>
      <c r="D368" s="21"/>
      <c r="E368" s="21"/>
      <c r="F368" s="21"/>
      <c r="G368" s="21"/>
      <c r="H368" s="21"/>
      <c r="I368" s="21"/>
      <c r="J368" s="86"/>
      <c r="K368" s="70"/>
      <c r="L368" s="24"/>
      <c r="M368" s="86"/>
      <c r="N368" s="66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</row>
    <row r="369" spans="1:29">
      <c r="A369" s="21"/>
      <c r="B369" s="21"/>
      <c r="C369" s="21"/>
      <c r="D369" s="21"/>
      <c r="E369" s="21"/>
      <c r="F369" s="21"/>
      <c r="G369" s="21"/>
      <c r="H369" s="21"/>
      <c r="I369" s="21"/>
      <c r="J369" s="86"/>
      <c r="K369" s="70"/>
      <c r="L369" s="24"/>
      <c r="M369" s="86"/>
      <c r="N369" s="66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</row>
    <row r="370" spans="1:29">
      <c r="A370" s="21"/>
      <c r="B370" s="21"/>
      <c r="C370" s="21"/>
      <c r="D370" s="21"/>
      <c r="E370" s="21"/>
      <c r="F370" s="21"/>
      <c r="G370" s="21"/>
      <c r="H370" s="21"/>
      <c r="I370" s="21"/>
      <c r="J370" s="86"/>
      <c r="K370" s="70"/>
      <c r="L370" s="24"/>
      <c r="M370" s="86"/>
      <c r="N370" s="66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</row>
    <row r="371" spans="1:29">
      <c r="A371" s="21"/>
      <c r="B371" s="21"/>
      <c r="C371" s="21"/>
      <c r="D371" s="21"/>
      <c r="E371" s="21"/>
      <c r="F371" s="21"/>
      <c r="G371" s="21"/>
      <c r="H371" s="21"/>
      <c r="I371" s="21"/>
      <c r="J371" s="86"/>
      <c r="K371" s="70"/>
      <c r="L371" s="24"/>
      <c r="M371" s="86"/>
      <c r="N371" s="66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</row>
    <row r="372" spans="1:29">
      <c r="A372" s="21"/>
      <c r="B372" s="21"/>
      <c r="C372" s="21"/>
      <c r="D372" s="21"/>
      <c r="E372" s="21"/>
      <c r="F372" s="21"/>
      <c r="G372" s="21"/>
      <c r="H372" s="21"/>
      <c r="I372" s="21"/>
      <c r="J372" s="86"/>
      <c r="K372" s="70"/>
      <c r="L372" s="24"/>
      <c r="M372" s="86"/>
      <c r="N372" s="66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</row>
    <row r="373" spans="1:29">
      <c r="A373" s="21"/>
      <c r="B373" s="21"/>
      <c r="C373" s="21"/>
      <c r="D373" s="21"/>
      <c r="E373" s="21"/>
      <c r="F373" s="21"/>
      <c r="G373" s="21"/>
      <c r="H373" s="21"/>
      <c r="I373" s="21"/>
      <c r="J373" s="86"/>
      <c r="K373" s="70"/>
      <c r="L373" s="24"/>
      <c r="M373" s="86"/>
      <c r="N373" s="66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</row>
    <row r="374" spans="1:29">
      <c r="A374" s="21"/>
      <c r="B374" s="21"/>
      <c r="C374" s="21"/>
      <c r="D374" s="21"/>
      <c r="E374" s="21"/>
      <c r="F374" s="21"/>
      <c r="G374" s="21"/>
      <c r="H374" s="21"/>
      <c r="I374" s="21"/>
      <c r="J374" s="86"/>
      <c r="K374" s="70"/>
      <c r="L374" s="24"/>
      <c r="M374" s="86"/>
      <c r="N374" s="66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</row>
    <row r="375" spans="1:29">
      <c r="A375" s="21"/>
      <c r="B375" s="21"/>
      <c r="C375" s="21"/>
      <c r="D375" s="21"/>
      <c r="E375" s="21"/>
      <c r="F375" s="21"/>
      <c r="G375" s="21"/>
      <c r="H375" s="21"/>
      <c r="I375" s="21"/>
      <c r="J375" s="86"/>
      <c r="K375" s="70"/>
      <c r="L375" s="24"/>
      <c r="M375" s="86"/>
      <c r="N375" s="66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</row>
    <row r="376" spans="1:29">
      <c r="A376" s="21"/>
      <c r="B376" s="21"/>
      <c r="C376" s="21"/>
      <c r="D376" s="21"/>
      <c r="E376" s="21"/>
      <c r="F376" s="21"/>
      <c r="G376" s="21"/>
      <c r="H376" s="21"/>
      <c r="I376" s="21"/>
      <c r="J376" s="86"/>
      <c r="K376" s="70"/>
      <c r="L376" s="24"/>
      <c r="M376" s="86"/>
      <c r="N376" s="66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</row>
    <row r="377" spans="1:29">
      <c r="A377" s="21"/>
      <c r="B377" s="21"/>
      <c r="C377" s="21"/>
      <c r="D377" s="21"/>
      <c r="E377" s="21"/>
      <c r="F377" s="21"/>
      <c r="G377" s="21"/>
      <c r="H377" s="21"/>
      <c r="I377" s="21"/>
      <c r="J377" s="86"/>
      <c r="K377" s="70"/>
      <c r="L377" s="24"/>
      <c r="M377" s="86"/>
      <c r="N377" s="66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</row>
    <row r="378" spans="1:29">
      <c r="A378" s="21"/>
      <c r="B378" s="21"/>
      <c r="C378" s="21"/>
      <c r="D378" s="21"/>
      <c r="E378" s="21"/>
      <c r="F378" s="21"/>
      <c r="G378" s="21"/>
      <c r="H378" s="21"/>
      <c r="I378" s="21"/>
      <c r="J378" s="86"/>
      <c r="K378" s="70"/>
      <c r="L378" s="24"/>
      <c r="M378" s="86"/>
      <c r="N378" s="66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</row>
    <row r="379" spans="1:29">
      <c r="A379" s="21"/>
      <c r="B379" s="21"/>
      <c r="C379" s="21"/>
      <c r="D379" s="21"/>
      <c r="E379" s="21"/>
      <c r="F379" s="21"/>
      <c r="G379" s="21"/>
      <c r="H379" s="21"/>
      <c r="I379" s="21"/>
      <c r="J379" s="86"/>
      <c r="K379" s="70"/>
      <c r="L379" s="24"/>
      <c r="M379" s="86"/>
      <c r="N379" s="66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</row>
    <row r="380" spans="1:29">
      <c r="A380" s="21"/>
      <c r="B380" s="21"/>
      <c r="C380" s="21"/>
      <c r="D380" s="21"/>
      <c r="E380" s="21"/>
      <c r="F380" s="21"/>
      <c r="G380" s="21"/>
      <c r="H380" s="21"/>
      <c r="I380" s="21"/>
      <c r="J380" s="86"/>
      <c r="K380" s="70"/>
      <c r="L380" s="24"/>
      <c r="M380" s="86"/>
      <c r="N380" s="66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</row>
    <row r="381" spans="1:29">
      <c r="A381" s="21"/>
      <c r="B381" s="21"/>
      <c r="C381" s="21"/>
      <c r="D381" s="21"/>
      <c r="E381" s="21"/>
      <c r="F381" s="21"/>
      <c r="G381" s="21"/>
      <c r="H381" s="21"/>
      <c r="I381" s="21"/>
      <c r="J381" s="86"/>
      <c r="K381" s="70"/>
      <c r="L381" s="24"/>
      <c r="M381" s="86"/>
      <c r="N381" s="66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</row>
    <row r="382" spans="1:29">
      <c r="A382" s="21"/>
      <c r="B382" s="21"/>
      <c r="C382" s="21"/>
      <c r="D382" s="21"/>
      <c r="E382" s="21"/>
      <c r="F382" s="21"/>
      <c r="G382" s="21"/>
      <c r="H382" s="21"/>
      <c r="I382" s="21"/>
      <c r="J382" s="86"/>
      <c r="K382" s="70"/>
      <c r="L382" s="24"/>
      <c r="M382" s="86"/>
      <c r="N382" s="66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</row>
    <row r="383" spans="1:29">
      <c r="A383" s="21"/>
      <c r="B383" s="21"/>
      <c r="C383" s="21"/>
      <c r="D383" s="21"/>
      <c r="E383" s="21"/>
      <c r="F383" s="21"/>
      <c r="G383" s="21"/>
      <c r="H383" s="21"/>
      <c r="I383" s="21"/>
      <c r="J383" s="86"/>
      <c r="K383" s="70"/>
      <c r="L383" s="24"/>
      <c r="M383" s="86"/>
      <c r="N383" s="66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</row>
    <row r="384" spans="1:29">
      <c r="A384" s="21"/>
      <c r="B384" s="21"/>
      <c r="C384" s="21"/>
      <c r="D384" s="21"/>
      <c r="E384" s="21"/>
      <c r="F384" s="21"/>
      <c r="G384" s="21"/>
      <c r="H384" s="21"/>
      <c r="I384" s="21"/>
      <c r="J384" s="86"/>
      <c r="K384" s="70"/>
      <c r="L384" s="24"/>
      <c r="M384" s="86"/>
      <c r="N384" s="66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</row>
    <row r="385" spans="1:29">
      <c r="A385" s="21"/>
      <c r="B385" s="21"/>
      <c r="C385" s="21"/>
      <c r="D385" s="21"/>
      <c r="E385" s="21"/>
      <c r="F385" s="21"/>
      <c r="G385" s="21"/>
      <c r="H385" s="21"/>
      <c r="I385" s="21"/>
      <c r="J385" s="86"/>
      <c r="K385" s="70"/>
      <c r="L385" s="24"/>
      <c r="M385" s="86"/>
      <c r="N385" s="66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</row>
    <row r="386" spans="1:29">
      <c r="A386" s="21"/>
      <c r="B386" s="21"/>
      <c r="C386" s="21"/>
      <c r="D386" s="21"/>
      <c r="E386" s="21"/>
      <c r="F386" s="21"/>
      <c r="G386" s="21"/>
      <c r="H386" s="21"/>
      <c r="I386" s="21"/>
      <c r="J386" s="86"/>
      <c r="K386" s="70"/>
      <c r="L386" s="24"/>
      <c r="M386" s="86"/>
      <c r="N386" s="66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</row>
    <row r="387" spans="1:29">
      <c r="A387" s="21"/>
      <c r="B387" s="21"/>
      <c r="C387" s="21"/>
      <c r="D387" s="21"/>
      <c r="E387" s="21"/>
      <c r="F387" s="21"/>
      <c r="G387" s="21"/>
      <c r="H387" s="21"/>
      <c r="I387" s="21"/>
      <c r="J387" s="86"/>
      <c r="K387" s="70"/>
      <c r="L387" s="24"/>
      <c r="M387" s="86"/>
      <c r="N387" s="66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</row>
    <row r="388" spans="1:29">
      <c r="A388" s="21"/>
      <c r="B388" s="21"/>
      <c r="C388" s="21"/>
      <c r="D388" s="21"/>
      <c r="E388" s="21"/>
      <c r="F388" s="21"/>
      <c r="G388" s="21"/>
      <c r="H388" s="21"/>
      <c r="I388" s="21"/>
      <c r="J388" s="86"/>
      <c r="K388" s="70"/>
      <c r="L388" s="24"/>
      <c r="M388" s="86"/>
      <c r="N388" s="66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</row>
    <row r="389" spans="1:29">
      <c r="A389" s="21"/>
      <c r="B389" s="21"/>
      <c r="C389" s="21"/>
      <c r="D389" s="21"/>
      <c r="E389" s="21"/>
      <c r="F389" s="21"/>
      <c r="G389" s="21"/>
      <c r="H389" s="21"/>
      <c r="I389" s="21"/>
      <c r="J389" s="86"/>
      <c r="K389" s="70"/>
      <c r="L389" s="24"/>
      <c r="M389" s="86"/>
      <c r="N389" s="66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</row>
    <row r="390" spans="1:29">
      <c r="A390" s="21"/>
      <c r="B390" s="21"/>
      <c r="C390" s="21"/>
      <c r="D390" s="21"/>
      <c r="E390" s="21"/>
      <c r="F390" s="21"/>
      <c r="G390" s="21"/>
      <c r="H390" s="21"/>
      <c r="I390" s="21"/>
      <c r="J390" s="86"/>
      <c r="K390" s="70"/>
      <c r="L390" s="24"/>
      <c r="M390" s="86"/>
      <c r="N390" s="66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</row>
    <row r="391" spans="1:29">
      <c r="A391" s="21"/>
      <c r="B391" s="21"/>
      <c r="C391" s="21"/>
      <c r="D391" s="21"/>
      <c r="E391" s="21"/>
      <c r="F391" s="21"/>
      <c r="G391" s="21"/>
      <c r="H391" s="21"/>
      <c r="I391" s="21"/>
      <c r="J391" s="86"/>
      <c r="K391" s="70"/>
      <c r="L391" s="24"/>
      <c r="M391" s="86"/>
      <c r="N391" s="66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</row>
    <row r="392" spans="1:29">
      <c r="A392" s="21"/>
      <c r="B392" s="21"/>
      <c r="C392" s="21"/>
      <c r="D392" s="21"/>
      <c r="E392" s="21"/>
      <c r="F392" s="21"/>
      <c r="G392" s="21"/>
      <c r="H392" s="21"/>
      <c r="I392" s="21"/>
      <c r="J392" s="86"/>
      <c r="K392" s="70"/>
      <c r="L392" s="24"/>
      <c r="M392" s="86"/>
      <c r="N392" s="66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</row>
    <row r="393" spans="1:29">
      <c r="A393" s="21"/>
      <c r="B393" s="21"/>
      <c r="C393" s="21"/>
      <c r="D393" s="21"/>
      <c r="E393" s="21"/>
      <c r="F393" s="21"/>
      <c r="G393" s="21"/>
      <c r="H393" s="21"/>
      <c r="I393" s="21"/>
      <c r="J393" s="86"/>
      <c r="K393" s="70"/>
      <c r="L393" s="24"/>
      <c r="M393" s="86"/>
      <c r="N393" s="66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</row>
    <row r="394" spans="1:29">
      <c r="A394" s="21"/>
      <c r="B394" s="21"/>
      <c r="C394" s="21"/>
      <c r="D394" s="21"/>
      <c r="E394" s="21"/>
      <c r="F394" s="21"/>
      <c r="G394" s="21"/>
      <c r="H394" s="21"/>
      <c r="I394" s="21"/>
      <c r="J394" s="86"/>
      <c r="K394" s="70"/>
      <c r="L394" s="24"/>
      <c r="M394" s="86"/>
      <c r="N394" s="66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</row>
    <row r="395" spans="1:29">
      <c r="A395" s="21"/>
      <c r="B395" s="21"/>
      <c r="C395" s="21"/>
      <c r="D395" s="21"/>
      <c r="E395" s="21"/>
      <c r="F395" s="21"/>
      <c r="G395" s="21"/>
      <c r="H395" s="21"/>
      <c r="I395" s="21"/>
      <c r="J395" s="86"/>
      <c r="K395" s="70"/>
      <c r="L395" s="24"/>
      <c r="M395" s="86"/>
      <c r="N395" s="66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</row>
    <row r="396" spans="1:29">
      <c r="A396" s="21"/>
      <c r="B396" s="21"/>
      <c r="C396" s="21"/>
      <c r="D396" s="21"/>
      <c r="E396" s="21"/>
      <c r="F396" s="21"/>
      <c r="G396" s="21"/>
      <c r="H396" s="21"/>
      <c r="I396" s="21"/>
      <c r="J396" s="86"/>
      <c r="K396" s="70"/>
      <c r="L396" s="24"/>
      <c r="M396" s="86"/>
      <c r="N396" s="66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</row>
    <row r="397" spans="1:29">
      <c r="A397" s="21"/>
      <c r="B397" s="21"/>
      <c r="C397" s="21"/>
      <c r="D397" s="21"/>
      <c r="E397" s="21"/>
      <c r="F397" s="21"/>
      <c r="G397" s="21"/>
      <c r="H397" s="21"/>
      <c r="I397" s="21"/>
      <c r="J397" s="86"/>
      <c r="K397" s="70"/>
      <c r="L397" s="24"/>
      <c r="M397" s="86"/>
      <c r="N397" s="66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</row>
    <row r="398" spans="1:29">
      <c r="A398" s="21"/>
      <c r="B398" s="21"/>
      <c r="C398" s="21"/>
      <c r="D398" s="21"/>
      <c r="E398" s="21"/>
      <c r="F398" s="21"/>
      <c r="G398" s="21"/>
      <c r="H398" s="21"/>
      <c r="I398" s="21"/>
      <c r="J398" s="86"/>
      <c r="K398" s="70"/>
      <c r="L398" s="24"/>
      <c r="M398" s="86"/>
      <c r="N398" s="66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</row>
    <row r="399" spans="1:29">
      <c r="A399" s="21"/>
      <c r="B399" s="21"/>
      <c r="C399" s="21"/>
      <c r="D399" s="21"/>
      <c r="E399" s="21"/>
      <c r="F399" s="21"/>
      <c r="G399" s="21"/>
      <c r="H399" s="21"/>
      <c r="I399" s="21"/>
      <c r="J399" s="86"/>
      <c r="K399" s="70"/>
      <c r="L399" s="24"/>
      <c r="M399" s="86"/>
      <c r="N399" s="66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</row>
    <row r="400" spans="1:29">
      <c r="A400" s="21"/>
      <c r="B400" s="21"/>
      <c r="C400" s="21"/>
      <c r="D400" s="21"/>
      <c r="E400" s="21"/>
      <c r="F400" s="21"/>
      <c r="G400" s="21"/>
      <c r="H400" s="21"/>
      <c r="I400" s="21"/>
      <c r="J400" s="86"/>
      <c r="K400" s="70"/>
      <c r="L400" s="24"/>
      <c r="M400" s="86"/>
      <c r="N400" s="66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</row>
    <row r="401" spans="1:29">
      <c r="A401" s="21"/>
      <c r="B401" s="21"/>
      <c r="C401" s="21"/>
      <c r="D401" s="21"/>
      <c r="E401" s="21"/>
      <c r="F401" s="21"/>
      <c r="G401" s="21"/>
      <c r="H401" s="21"/>
      <c r="I401" s="21"/>
      <c r="J401" s="86"/>
      <c r="K401" s="70"/>
      <c r="L401" s="24"/>
      <c r="M401" s="86"/>
      <c r="N401" s="66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</row>
    <row r="402" spans="1:29">
      <c r="A402" s="21"/>
      <c r="B402" s="21"/>
      <c r="C402" s="21"/>
      <c r="D402" s="21"/>
      <c r="E402" s="21"/>
      <c r="F402" s="21"/>
      <c r="G402" s="21"/>
      <c r="H402" s="21"/>
      <c r="I402" s="21"/>
      <c r="J402" s="86"/>
      <c r="K402" s="70"/>
      <c r="L402" s="24"/>
      <c r="M402" s="86"/>
      <c r="N402" s="66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</row>
    <row r="403" spans="1:29">
      <c r="A403" s="21"/>
      <c r="B403" s="21"/>
      <c r="C403" s="21"/>
      <c r="D403" s="21"/>
      <c r="E403" s="21"/>
      <c r="F403" s="21"/>
      <c r="G403" s="21"/>
      <c r="H403" s="21"/>
      <c r="I403" s="21"/>
      <c r="J403" s="86"/>
      <c r="K403" s="70"/>
      <c r="L403" s="24"/>
      <c r="M403" s="86"/>
      <c r="N403" s="66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</row>
    <row r="404" spans="1:29">
      <c r="A404" s="21"/>
      <c r="B404" s="21"/>
      <c r="C404" s="21"/>
      <c r="D404" s="21"/>
      <c r="E404" s="21"/>
      <c r="F404" s="21"/>
      <c r="G404" s="21"/>
      <c r="H404" s="21"/>
      <c r="I404" s="21"/>
      <c r="J404" s="86"/>
      <c r="K404" s="70"/>
      <c r="L404" s="24"/>
      <c r="M404" s="86"/>
      <c r="N404" s="66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</row>
    <row r="405" spans="1:29">
      <c r="A405" s="21"/>
      <c r="B405" s="21"/>
      <c r="C405" s="21"/>
      <c r="D405" s="21"/>
      <c r="E405" s="21"/>
      <c r="F405" s="21"/>
      <c r="G405" s="21"/>
      <c r="H405" s="21"/>
      <c r="I405" s="21"/>
      <c r="J405" s="86"/>
      <c r="K405" s="70"/>
      <c r="L405" s="24"/>
      <c r="M405" s="86"/>
      <c r="N405" s="66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</row>
    <row r="406" spans="1:29">
      <c r="A406" s="21"/>
      <c r="B406" s="21"/>
      <c r="C406" s="21"/>
      <c r="D406" s="21"/>
      <c r="E406" s="21"/>
      <c r="F406" s="21"/>
      <c r="G406" s="21"/>
      <c r="H406" s="21"/>
      <c r="I406" s="21"/>
      <c r="J406" s="86"/>
      <c r="K406" s="70"/>
      <c r="L406" s="24"/>
      <c r="M406" s="86"/>
      <c r="N406" s="66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</row>
    <row r="407" spans="1:29">
      <c r="A407" s="21"/>
      <c r="B407" s="21"/>
      <c r="C407" s="21"/>
      <c r="D407" s="21"/>
      <c r="E407" s="21"/>
      <c r="F407" s="21"/>
      <c r="G407" s="21"/>
      <c r="H407" s="21"/>
      <c r="I407" s="21"/>
      <c r="J407" s="86"/>
      <c r="K407" s="70"/>
      <c r="L407" s="24"/>
      <c r="M407" s="86"/>
      <c r="N407" s="66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</row>
    <row r="408" spans="1:29">
      <c r="A408" s="21"/>
      <c r="B408" s="21"/>
      <c r="C408" s="21"/>
      <c r="D408" s="21"/>
      <c r="E408" s="21"/>
      <c r="F408" s="21"/>
      <c r="G408" s="21"/>
      <c r="H408" s="21"/>
      <c r="I408" s="21"/>
      <c r="J408" s="86"/>
      <c r="K408" s="70"/>
      <c r="L408" s="24"/>
      <c r="M408" s="86"/>
      <c r="N408" s="66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</row>
    <row r="409" spans="1:29">
      <c r="A409" s="21"/>
      <c r="B409" s="21"/>
      <c r="C409" s="21"/>
      <c r="D409" s="21"/>
      <c r="E409" s="21"/>
      <c r="F409" s="21"/>
      <c r="G409" s="21"/>
      <c r="H409" s="21"/>
      <c r="I409" s="21"/>
      <c r="J409" s="86"/>
      <c r="K409" s="70"/>
      <c r="L409" s="24"/>
      <c r="M409" s="86"/>
      <c r="N409" s="66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</row>
    <row r="410" spans="1:29">
      <c r="A410" s="21"/>
      <c r="B410" s="21"/>
      <c r="C410" s="21"/>
      <c r="D410" s="21"/>
      <c r="E410" s="21"/>
      <c r="F410" s="21"/>
      <c r="G410" s="21"/>
      <c r="H410" s="21"/>
      <c r="I410" s="21"/>
      <c r="J410" s="86"/>
      <c r="K410" s="70"/>
      <c r="L410" s="24"/>
      <c r="M410" s="86"/>
      <c r="N410" s="66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</row>
    <row r="411" spans="1:29">
      <c r="A411" s="21"/>
      <c r="B411" s="21"/>
      <c r="C411" s="21"/>
      <c r="D411" s="21"/>
      <c r="E411" s="21"/>
      <c r="F411" s="21"/>
      <c r="G411" s="21"/>
      <c r="H411" s="21"/>
      <c r="I411" s="21"/>
      <c r="J411" s="86"/>
      <c r="K411" s="70"/>
      <c r="L411" s="24"/>
      <c r="M411" s="86"/>
      <c r="N411" s="66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</row>
    <row r="412" spans="1:29">
      <c r="A412" s="21"/>
      <c r="B412" s="21"/>
      <c r="C412" s="21"/>
      <c r="D412" s="21"/>
      <c r="E412" s="21"/>
      <c r="F412" s="21"/>
      <c r="G412" s="21"/>
      <c r="H412" s="21"/>
      <c r="I412" s="21"/>
      <c r="J412" s="86"/>
      <c r="K412" s="70"/>
      <c r="L412" s="24"/>
      <c r="M412" s="86"/>
      <c r="N412" s="66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</row>
    <row r="413" spans="1:29">
      <c r="A413" s="21"/>
      <c r="B413" s="21"/>
      <c r="C413" s="21"/>
      <c r="D413" s="21"/>
      <c r="E413" s="21"/>
      <c r="F413" s="21"/>
      <c r="G413" s="21"/>
      <c r="H413" s="21"/>
      <c r="I413" s="21"/>
      <c r="J413" s="86"/>
      <c r="K413" s="70"/>
      <c r="L413" s="24"/>
      <c r="M413" s="86"/>
      <c r="N413" s="66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</row>
    <row r="414" spans="1:29">
      <c r="A414" s="21"/>
      <c r="B414" s="21"/>
      <c r="C414" s="21"/>
      <c r="D414" s="21"/>
      <c r="E414" s="21"/>
      <c r="F414" s="21"/>
      <c r="G414" s="21"/>
      <c r="H414" s="21"/>
      <c r="I414" s="21"/>
      <c r="J414" s="86"/>
      <c r="K414" s="70"/>
      <c r="L414" s="24"/>
      <c r="M414" s="86"/>
      <c r="N414" s="66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</row>
    <row r="415" spans="1:29">
      <c r="A415" s="21"/>
      <c r="B415" s="21"/>
      <c r="C415" s="21"/>
      <c r="D415" s="21"/>
      <c r="E415" s="21"/>
      <c r="F415" s="21"/>
      <c r="G415" s="21"/>
      <c r="H415" s="21"/>
      <c r="I415" s="21"/>
      <c r="J415" s="86"/>
      <c r="K415" s="70"/>
      <c r="L415" s="24"/>
      <c r="M415" s="86"/>
      <c r="N415" s="66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</row>
    <row r="416" spans="1:29">
      <c r="A416" s="21"/>
      <c r="B416" s="21"/>
      <c r="C416" s="21"/>
      <c r="D416" s="21"/>
      <c r="E416" s="21"/>
      <c r="F416" s="21"/>
      <c r="G416" s="21"/>
      <c r="H416" s="21"/>
      <c r="I416" s="21"/>
      <c r="J416" s="86"/>
      <c r="K416" s="70"/>
      <c r="L416" s="24"/>
      <c r="M416" s="86"/>
      <c r="N416" s="66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</row>
    <row r="417" spans="1:29">
      <c r="A417" s="21"/>
      <c r="B417" s="21"/>
      <c r="C417" s="21"/>
      <c r="D417" s="21"/>
      <c r="E417" s="21"/>
      <c r="F417" s="21"/>
      <c r="G417" s="21"/>
      <c r="H417" s="21"/>
      <c r="I417" s="21"/>
      <c r="J417" s="86"/>
      <c r="K417" s="70"/>
      <c r="L417" s="24"/>
      <c r="M417" s="86"/>
      <c r="N417" s="66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</row>
    <row r="418" spans="1:29">
      <c r="A418" s="21"/>
      <c r="B418" s="21"/>
      <c r="C418" s="21"/>
      <c r="D418" s="21"/>
      <c r="E418" s="21"/>
      <c r="F418" s="21"/>
      <c r="G418" s="21"/>
      <c r="H418" s="21"/>
      <c r="I418" s="21"/>
      <c r="J418" s="86"/>
      <c r="K418" s="70"/>
      <c r="L418" s="24"/>
      <c r="M418" s="86"/>
      <c r="N418" s="66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</row>
    <row r="419" spans="1:29">
      <c r="A419" s="21"/>
      <c r="B419" s="21"/>
      <c r="C419" s="21"/>
      <c r="D419" s="21"/>
      <c r="E419" s="21"/>
      <c r="F419" s="21"/>
      <c r="G419" s="21"/>
      <c r="H419" s="21"/>
      <c r="I419" s="21"/>
      <c r="J419" s="86"/>
      <c r="K419" s="70"/>
      <c r="L419" s="24"/>
      <c r="M419" s="86"/>
      <c r="N419" s="66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</row>
    <row r="420" spans="1:29">
      <c r="A420" s="21"/>
      <c r="B420" s="21"/>
      <c r="C420" s="21"/>
      <c r="D420" s="21"/>
      <c r="E420" s="21"/>
      <c r="F420" s="21"/>
      <c r="G420" s="21"/>
      <c r="H420" s="21"/>
      <c r="I420" s="21"/>
      <c r="J420" s="86"/>
      <c r="K420" s="70"/>
      <c r="L420" s="24"/>
      <c r="M420" s="86"/>
      <c r="N420" s="66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</row>
    <row r="421" spans="1:29">
      <c r="A421" s="21"/>
      <c r="B421" s="21"/>
      <c r="C421" s="21"/>
      <c r="D421" s="21"/>
      <c r="E421" s="21"/>
      <c r="F421" s="21"/>
      <c r="G421" s="21"/>
      <c r="H421" s="21"/>
      <c r="I421" s="21"/>
      <c r="J421" s="86"/>
      <c r="K421" s="70"/>
      <c r="L421" s="24"/>
      <c r="M421" s="86"/>
      <c r="N421" s="66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</row>
    <row r="422" spans="1:29">
      <c r="A422" s="21"/>
      <c r="B422" s="21"/>
      <c r="C422" s="21"/>
      <c r="D422" s="21"/>
      <c r="E422" s="21"/>
      <c r="F422" s="21"/>
      <c r="G422" s="21"/>
      <c r="H422" s="21"/>
      <c r="I422" s="21"/>
      <c r="J422" s="86"/>
      <c r="K422" s="70"/>
      <c r="L422" s="24"/>
      <c r="M422" s="86"/>
      <c r="N422" s="66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</row>
    <row r="423" spans="1:29">
      <c r="A423" s="21"/>
      <c r="B423" s="21"/>
      <c r="C423" s="21"/>
      <c r="D423" s="21"/>
      <c r="E423" s="21"/>
      <c r="F423" s="21"/>
      <c r="G423" s="21"/>
      <c r="H423" s="21"/>
      <c r="I423" s="21"/>
      <c r="J423" s="86"/>
      <c r="K423" s="70"/>
      <c r="L423" s="24"/>
      <c r="M423" s="86"/>
      <c r="N423" s="66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</row>
    <row r="424" spans="1:29">
      <c r="A424" s="21"/>
      <c r="B424" s="21"/>
      <c r="C424" s="21"/>
      <c r="D424" s="21"/>
      <c r="E424" s="21"/>
      <c r="F424" s="21"/>
      <c r="G424" s="21"/>
      <c r="H424" s="21"/>
      <c r="I424" s="21"/>
      <c r="J424" s="86"/>
      <c r="K424" s="70"/>
      <c r="L424" s="24"/>
      <c r="M424" s="86"/>
      <c r="N424" s="66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</row>
    <row r="425" spans="1:29">
      <c r="A425" s="21"/>
      <c r="B425" s="21"/>
      <c r="C425" s="21"/>
      <c r="D425" s="21"/>
      <c r="E425" s="21"/>
      <c r="F425" s="21"/>
      <c r="G425" s="21"/>
      <c r="H425" s="21"/>
      <c r="I425" s="21"/>
      <c r="J425" s="86"/>
      <c r="K425" s="70"/>
      <c r="L425" s="24"/>
      <c r="M425" s="86"/>
      <c r="N425" s="66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</row>
    <row r="426" spans="1:29">
      <c r="A426" s="21"/>
      <c r="B426" s="21"/>
      <c r="C426" s="21"/>
      <c r="D426" s="21"/>
      <c r="E426" s="21"/>
      <c r="F426" s="21"/>
      <c r="G426" s="21"/>
      <c r="H426" s="21"/>
      <c r="I426" s="21"/>
      <c r="J426" s="86"/>
      <c r="K426" s="70"/>
      <c r="L426" s="24"/>
      <c r="M426" s="86"/>
      <c r="N426" s="66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</row>
    <row r="427" spans="1:29">
      <c r="A427" s="21"/>
      <c r="B427" s="21"/>
      <c r="C427" s="21"/>
      <c r="D427" s="21"/>
      <c r="E427" s="21"/>
      <c r="F427" s="21"/>
      <c r="G427" s="21"/>
      <c r="H427" s="21"/>
      <c r="I427" s="21"/>
      <c r="J427" s="86"/>
      <c r="K427" s="70"/>
      <c r="L427" s="24"/>
      <c r="M427" s="86"/>
      <c r="N427" s="66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</row>
    <row r="428" spans="1:29">
      <c r="A428" s="21"/>
      <c r="B428" s="21"/>
      <c r="C428" s="21"/>
      <c r="D428" s="21"/>
      <c r="E428" s="21"/>
      <c r="F428" s="21"/>
      <c r="G428" s="21"/>
      <c r="H428" s="21"/>
      <c r="I428" s="21"/>
      <c r="J428" s="86"/>
      <c r="K428" s="70"/>
      <c r="L428" s="24"/>
      <c r="M428" s="86"/>
      <c r="N428" s="66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</row>
    <row r="429" spans="1:29">
      <c r="A429" s="21"/>
      <c r="B429" s="21"/>
      <c r="C429" s="21"/>
      <c r="D429" s="21"/>
      <c r="E429" s="21"/>
      <c r="F429" s="21"/>
      <c r="G429" s="21"/>
      <c r="H429" s="21"/>
      <c r="I429" s="21"/>
      <c r="J429" s="86"/>
      <c r="K429" s="70"/>
      <c r="L429" s="24"/>
      <c r="M429" s="86"/>
      <c r="N429" s="66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</row>
    <row r="430" spans="1:29">
      <c r="A430" s="21"/>
      <c r="B430" s="21"/>
      <c r="C430" s="21"/>
      <c r="D430" s="21"/>
      <c r="E430" s="21"/>
      <c r="F430" s="21"/>
      <c r="G430" s="21"/>
      <c r="H430" s="21"/>
      <c r="I430" s="21"/>
      <c r="J430" s="86"/>
      <c r="K430" s="70"/>
      <c r="L430" s="24"/>
      <c r="M430" s="86"/>
      <c r="N430" s="66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</row>
    <row r="431" spans="1:29">
      <c r="A431" s="21"/>
      <c r="B431" s="21"/>
      <c r="C431" s="21"/>
      <c r="D431" s="21"/>
      <c r="E431" s="21"/>
      <c r="F431" s="21"/>
      <c r="G431" s="21"/>
      <c r="H431" s="21"/>
      <c r="I431" s="21"/>
      <c r="J431" s="86"/>
      <c r="K431" s="70"/>
      <c r="L431" s="24"/>
      <c r="M431" s="86"/>
      <c r="N431" s="66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</row>
    <row r="432" spans="1:29">
      <c r="A432" s="21"/>
      <c r="B432" s="21"/>
      <c r="C432" s="21"/>
      <c r="D432" s="21"/>
      <c r="E432" s="21"/>
      <c r="F432" s="21"/>
      <c r="G432" s="21"/>
      <c r="H432" s="21"/>
      <c r="I432" s="21"/>
      <c r="J432" s="86"/>
      <c r="K432" s="70"/>
      <c r="L432" s="24"/>
      <c r="M432" s="86"/>
      <c r="N432" s="66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</row>
    <row r="433" spans="1:29">
      <c r="A433" s="21"/>
      <c r="B433" s="21"/>
      <c r="C433" s="21"/>
      <c r="D433" s="21"/>
      <c r="E433" s="21"/>
      <c r="F433" s="21"/>
      <c r="G433" s="21"/>
      <c r="H433" s="21"/>
      <c r="I433" s="21"/>
      <c r="J433" s="86"/>
      <c r="K433" s="70"/>
      <c r="L433" s="24"/>
      <c r="M433" s="86"/>
      <c r="N433" s="66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</row>
    <row r="434" spans="1:29">
      <c r="A434" s="21"/>
      <c r="B434" s="21"/>
      <c r="C434" s="21"/>
      <c r="D434" s="21"/>
      <c r="E434" s="21"/>
      <c r="F434" s="21"/>
      <c r="G434" s="21"/>
      <c r="H434" s="21"/>
      <c r="I434" s="21"/>
      <c r="J434" s="86"/>
      <c r="K434" s="70"/>
      <c r="L434" s="24"/>
      <c r="M434" s="86"/>
      <c r="N434" s="66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</row>
    <row r="435" spans="1:29">
      <c r="A435" s="21"/>
      <c r="B435" s="21"/>
      <c r="C435" s="21"/>
      <c r="D435" s="21"/>
      <c r="E435" s="21"/>
      <c r="F435" s="21"/>
      <c r="G435" s="21"/>
      <c r="H435" s="21"/>
      <c r="I435" s="21"/>
      <c r="J435" s="86"/>
      <c r="K435" s="70"/>
      <c r="L435" s="24"/>
      <c r="M435" s="86"/>
      <c r="N435" s="66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</row>
    <row r="436" spans="1:29">
      <c r="A436" s="21"/>
      <c r="B436" s="21"/>
      <c r="C436" s="21"/>
      <c r="D436" s="21"/>
      <c r="E436" s="21"/>
      <c r="F436" s="21"/>
      <c r="G436" s="21"/>
      <c r="H436" s="21"/>
      <c r="I436" s="21"/>
      <c r="J436" s="86"/>
      <c r="K436" s="70"/>
      <c r="L436" s="24"/>
      <c r="M436" s="86"/>
      <c r="N436" s="66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</row>
    <row r="437" spans="1:29">
      <c r="A437" s="21"/>
      <c r="B437" s="21"/>
      <c r="C437" s="21"/>
      <c r="D437" s="21"/>
      <c r="E437" s="21"/>
      <c r="F437" s="21"/>
      <c r="G437" s="21"/>
      <c r="H437" s="21"/>
      <c r="I437" s="21"/>
      <c r="J437" s="86"/>
      <c r="K437" s="70"/>
      <c r="L437" s="24"/>
      <c r="M437" s="86"/>
      <c r="N437" s="66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</row>
    <row r="438" spans="1:29">
      <c r="A438" s="21"/>
      <c r="B438" s="21"/>
      <c r="C438" s="21"/>
      <c r="D438" s="21"/>
      <c r="E438" s="21"/>
      <c r="F438" s="21"/>
      <c r="G438" s="21"/>
      <c r="H438" s="21"/>
      <c r="I438" s="21"/>
      <c r="J438" s="86"/>
      <c r="K438" s="70"/>
      <c r="L438" s="24"/>
      <c r="M438" s="86"/>
      <c r="N438" s="66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</row>
    <row r="439" spans="1:29">
      <c r="A439" s="21"/>
      <c r="B439" s="21"/>
      <c r="C439" s="21"/>
      <c r="D439" s="21"/>
      <c r="E439" s="21"/>
      <c r="F439" s="21"/>
      <c r="G439" s="21"/>
      <c r="H439" s="21"/>
      <c r="I439" s="21"/>
      <c r="J439" s="86"/>
      <c r="K439" s="70"/>
      <c r="L439" s="24"/>
      <c r="M439" s="86"/>
      <c r="N439" s="66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</row>
    <row r="440" spans="1:29">
      <c r="A440" s="21"/>
      <c r="B440" s="21"/>
      <c r="C440" s="21"/>
      <c r="D440" s="21"/>
      <c r="E440" s="21"/>
      <c r="F440" s="21"/>
      <c r="G440" s="21"/>
      <c r="H440" s="21"/>
      <c r="I440" s="21"/>
      <c r="J440" s="86"/>
      <c r="K440" s="70"/>
      <c r="L440" s="24"/>
      <c r="M440" s="86"/>
      <c r="N440" s="66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</row>
    <row r="441" spans="1:29">
      <c r="A441" s="21"/>
      <c r="B441" s="21"/>
      <c r="C441" s="21"/>
      <c r="D441" s="21"/>
      <c r="E441" s="21"/>
      <c r="F441" s="21"/>
      <c r="G441" s="21"/>
      <c r="H441" s="21"/>
      <c r="I441" s="21"/>
      <c r="J441" s="86"/>
      <c r="K441" s="70"/>
      <c r="L441" s="24"/>
      <c r="M441" s="86"/>
      <c r="N441" s="66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</row>
    <row r="442" spans="1:29">
      <c r="A442" s="21"/>
      <c r="B442" s="21"/>
      <c r="C442" s="21"/>
      <c r="D442" s="21"/>
      <c r="E442" s="21"/>
      <c r="F442" s="21"/>
      <c r="G442" s="21"/>
      <c r="H442" s="21"/>
      <c r="I442" s="21"/>
      <c r="J442" s="86"/>
      <c r="K442" s="70"/>
      <c r="L442" s="24"/>
      <c r="M442" s="86"/>
      <c r="N442" s="66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</row>
    <row r="443" spans="1:29">
      <c r="A443" s="21"/>
      <c r="B443" s="21"/>
      <c r="C443" s="21"/>
      <c r="D443" s="21"/>
      <c r="E443" s="21"/>
      <c r="F443" s="21"/>
      <c r="G443" s="21"/>
      <c r="H443" s="21"/>
      <c r="I443" s="21"/>
      <c r="J443" s="86"/>
      <c r="K443" s="70"/>
      <c r="L443" s="24"/>
      <c r="M443" s="86"/>
      <c r="N443" s="66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</row>
    <row r="444" spans="1:29">
      <c r="A444" s="21"/>
      <c r="B444" s="21"/>
      <c r="C444" s="21"/>
      <c r="D444" s="21"/>
      <c r="E444" s="21"/>
      <c r="F444" s="21"/>
      <c r="G444" s="21"/>
      <c r="H444" s="21"/>
      <c r="I444" s="21"/>
      <c r="J444" s="86"/>
      <c r="K444" s="70"/>
      <c r="L444" s="24"/>
      <c r="M444" s="86"/>
      <c r="N444" s="66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</row>
    <row r="445" spans="1:29">
      <c r="A445" s="21"/>
      <c r="B445" s="21"/>
      <c r="C445" s="21"/>
      <c r="D445" s="21"/>
      <c r="E445" s="21"/>
      <c r="F445" s="21"/>
      <c r="G445" s="21"/>
      <c r="H445" s="21"/>
      <c r="I445" s="21"/>
      <c r="J445" s="86"/>
      <c r="K445" s="70"/>
      <c r="L445" s="24"/>
      <c r="M445" s="86"/>
      <c r="N445" s="66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</row>
    <row r="446" spans="1:29">
      <c r="A446" s="21"/>
      <c r="B446" s="21"/>
      <c r="C446" s="21"/>
      <c r="D446" s="21"/>
      <c r="E446" s="21"/>
      <c r="F446" s="21"/>
      <c r="G446" s="21"/>
      <c r="H446" s="21"/>
      <c r="I446" s="21"/>
      <c r="J446" s="86"/>
      <c r="K446" s="70"/>
      <c r="L446" s="24"/>
      <c r="M446" s="86"/>
      <c r="N446" s="66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</row>
    <row r="447" spans="1:29">
      <c r="A447" s="21"/>
      <c r="B447" s="21"/>
      <c r="C447" s="21"/>
      <c r="D447" s="21"/>
      <c r="E447" s="21"/>
      <c r="F447" s="21"/>
      <c r="G447" s="21"/>
      <c r="H447" s="21"/>
      <c r="I447" s="21"/>
      <c r="J447" s="86"/>
      <c r="K447" s="70"/>
      <c r="L447" s="24"/>
      <c r="M447" s="86"/>
      <c r="N447" s="66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</row>
    <row r="448" spans="1:29">
      <c r="A448" s="21"/>
      <c r="B448" s="21"/>
      <c r="C448" s="21"/>
      <c r="D448" s="21"/>
      <c r="E448" s="21"/>
      <c r="F448" s="21"/>
      <c r="G448" s="21"/>
      <c r="H448" s="21"/>
      <c r="I448" s="21"/>
      <c r="J448" s="86"/>
      <c r="K448" s="70"/>
      <c r="L448" s="24"/>
      <c r="M448" s="86"/>
      <c r="N448" s="66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</row>
    <row r="449" spans="1:29">
      <c r="A449" s="21"/>
      <c r="B449" s="21"/>
      <c r="C449" s="21"/>
      <c r="D449" s="21"/>
      <c r="E449" s="21"/>
      <c r="F449" s="21"/>
      <c r="G449" s="21"/>
      <c r="H449" s="21"/>
      <c r="I449" s="21"/>
      <c r="J449" s="86"/>
      <c r="K449" s="70"/>
      <c r="L449" s="24"/>
      <c r="M449" s="86"/>
      <c r="N449" s="66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</row>
    <row r="450" spans="1:29">
      <c r="A450" s="21"/>
      <c r="B450" s="21"/>
      <c r="C450" s="21"/>
      <c r="D450" s="21"/>
      <c r="E450" s="21"/>
      <c r="F450" s="21"/>
      <c r="G450" s="21"/>
      <c r="H450" s="21"/>
      <c r="I450" s="21"/>
      <c r="J450" s="86"/>
      <c r="K450" s="70"/>
      <c r="L450" s="24"/>
      <c r="M450" s="86"/>
      <c r="N450" s="66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</row>
    <row r="451" spans="1:29">
      <c r="A451" s="21"/>
      <c r="B451" s="21"/>
      <c r="C451" s="21"/>
      <c r="D451" s="21"/>
      <c r="E451" s="21"/>
      <c r="F451" s="21"/>
      <c r="G451" s="21"/>
      <c r="H451" s="21"/>
      <c r="I451" s="21"/>
      <c r="J451" s="86"/>
      <c r="K451" s="70"/>
      <c r="L451" s="24"/>
      <c r="M451" s="86"/>
      <c r="N451" s="66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</row>
    <row r="452" spans="1:29">
      <c r="A452" s="21"/>
      <c r="B452" s="21"/>
      <c r="C452" s="21"/>
      <c r="D452" s="21"/>
      <c r="E452" s="21"/>
      <c r="F452" s="21"/>
      <c r="G452" s="21"/>
      <c r="H452" s="21"/>
      <c r="I452" s="21"/>
      <c r="J452" s="86"/>
      <c r="K452" s="70"/>
      <c r="L452" s="24"/>
      <c r="M452" s="86"/>
      <c r="N452" s="66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</row>
    <row r="453" spans="1:29">
      <c r="A453" s="21"/>
      <c r="B453" s="21"/>
      <c r="C453" s="21"/>
      <c r="D453" s="21"/>
      <c r="E453" s="21"/>
      <c r="F453" s="21"/>
      <c r="G453" s="21"/>
      <c r="H453" s="21"/>
      <c r="I453" s="21"/>
      <c r="J453" s="86"/>
      <c r="K453" s="70"/>
      <c r="L453" s="24"/>
      <c r="M453" s="86"/>
      <c r="N453" s="66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</row>
    <row r="454" spans="1:29">
      <c r="A454" s="21"/>
      <c r="B454" s="21"/>
      <c r="C454" s="21"/>
      <c r="D454" s="21"/>
      <c r="E454" s="21"/>
      <c r="F454" s="21"/>
      <c r="G454" s="21"/>
      <c r="H454" s="21"/>
      <c r="I454" s="21"/>
      <c r="J454" s="86"/>
      <c r="K454" s="70"/>
      <c r="L454" s="24"/>
      <c r="M454" s="86"/>
      <c r="N454" s="66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</row>
    <row r="455" spans="1:29">
      <c r="A455" s="21"/>
      <c r="B455" s="21"/>
      <c r="C455" s="21"/>
      <c r="D455" s="21"/>
      <c r="E455" s="21"/>
      <c r="F455" s="21"/>
      <c r="G455" s="21"/>
      <c r="H455" s="21"/>
      <c r="I455" s="21"/>
      <c r="J455" s="86"/>
      <c r="K455" s="70"/>
      <c r="L455" s="24"/>
      <c r="M455" s="86"/>
      <c r="N455" s="66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</row>
    <row r="456" spans="1:29">
      <c r="A456" s="21"/>
      <c r="B456" s="21"/>
      <c r="C456" s="21"/>
      <c r="D456" s="21"/>
      <c r="E456" s="21"/>
      <c r="F456" s="21"/>
      <c r="G456" s="21"/>
      <c r="H456" s="21"/>
      <c r="I456" s="21"/>
      <c r="J456" s="86"/>
      <c r="K456" s="70"/>
      <c r="L456" s="24"/>
      <c r="M456" s="86"/>
      <c r="N456" s="66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</row>
    <row r="457" spans="1:29">
      <c r="A457" s="21"/>
      <c r="B457" s="21"/>
      <c r="C457" s="21"/>
      <c r="D457" s="21"/>
      <c r="E457" s="21"/>
      <c r="F457" s="21"/>
      <c r="G457" s="21"/>
      <c r="H457" s="21"/>
      <c r="I457" s="21"/>
      <c r="J457" s="86"/>
      <c r="K457" s="70"/>
      <c r="L457" s="24"/>
      <c r="M457" s="86"/>
      <c r="N457" s="66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</row>
    <row r="458" spans="1:29">
      <c r="A458" s="21"/>
      <c r="B458" s="21"/>
      <c r="C458" s="21"/>
      <c r="D458" s="21"/>
      <c r="E458" s="21"/>
      <c r="F458" s="21"/>
      <c r="G458" s="21"/>
      <c r="H458" s="21"/>
      <c r="I458" s="21"/>
      <c r="J458" s="86"/>
      <c r="K458" s="70"/>
      <c r="L458" s="24"/>
      <c r="M458" s="86"/>
      <c r="N458" s="66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</row>
    <row r="459" spans="1:29">
      <c r="A459" s="21"/>
      <c r="B459" s="21"/>
      <c r="C459" s="21"/>
      <c r="D459" s="21"/>
      <c r="E459" s="21"/>
      <c r="F459" s="21"/>
      <c r="G459" s="21"/>
      <c r="H459" s="21"/>
      <c r="I459" s="21"/>
      <c r="J459" s="86"/>
      <c r="K459" s="70"/>
      <c r="L459" s="24"/>
      <c r="M459" s="86"/>
      <c r="N459" s="66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</row>
    <row r="460" spans="1:29">
      <c r="A460" s="21"/>
      <c r="B460" s="21"/>
      <c r="C460" s="21"/>
      <c r="D460" s="21"/>
      <c r="E460" s="21"/>
      <c r="F460" s="21"/>
      <c r="G460" s="21"/>
      <c r="H460" s="21"/>
      <c r="I460" s="21"/>
      <c r="J460" s="86"/>
      <c r="K460" s="70"/>
      <c r="L460" s="24"/>
      <c r="M460" s="86"/>
      <c r="N460" s="66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</row>
    <row r="461" spans="1:29">
      <c r="A461" s="21"/>
      <c r="B461" s="21"/>
      <c r="C461" s="21"/>
      <c r="D461" s="21"/>
      <c r="E461" s="21"/>
      <c r="F461" s="21"/>
      <c r="G461" s="21"/>
      <c r="H461" s="21"/>
      <c r="I461" s="21"/>
      <c r="J461" s="86"/>
      <c r="K461" s="70"/>
      <c r="L461" s="24"/>
      <c r="M461" s="86"/>
      <c r="N461" s="66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</row>
    <row r="462" spans="1:29">
      <c r="A462" s="21"/>
      <c r="B462" s="21"/>
      <c r="C462" s="21"/>
      <c r="D462" s="21"/>
      <c r="E462" s="21"/>
      <c r="F462" s="21"/>
      <c r="G462" s="21"/>
      <c r="H462" s="21"/>
      <c r="I462" s="21"/>
      <c r="J462" s="86"/>
      <c r="K462" s="70"/>
      <c r="L462" s="24"/>
      <c r="M462" s="86"/>
      <c r="N462" s="66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</row>
    <row r="463" spans="1:29">
      <c r="A463" s="21"/>
      <c r="B463" s="21"/>
      <c r="C463" s="21"/>
      <c r="D463" s="21"/>
      <c r="E463" s="21"/>
      <c r="F463" s="21"/>
      <c r="G463" s="21"/>
      <c r="H463" s="21"/>
      <c r="I463" s="21"/>
      <c r="J463" s="86"/>
      <c r="K463" s="70"/>
      <c r="L463" s="24"/>
      <c r="M463" s="86"/>
      <c r="N463" s="66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</row>
    <row r="464" spans="1:29">
      <c r="A464" s="21"/>
      <c r="B464" s="21"/>
      <c r="C464" s="21"/>
      <c r="D464" s="21"/>
      <c r="E464" s="21"/>
      <c r="F464" s="21"/>
      <c r="G464" s="21"/>
      <c r="H464" s="21"/>
      <c r="I464" s="21"/>
      <c r="J464" s="86"/>
      <c r="K464" s="70"/>
      <c r="L464" s="24"/>
      <c r="M464" s="86"/>
      <c r="N464" s="66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</row>
    <row r="465" spans="1:29">
      <c r="A465" s="21"/>
      <c r="B465" s="21"/>
      <c r="C465" s="21"/>
      <c r="D465" s="21"/>
      <c r="E465" s="21"/>
      <c r="F465" s="21"/>
      <c r="G465" s="21"/>
      <c r="H465" s="21"/>
      <c r="I465" s="21"/>
      <c r="J465" s="86"/>
      <c r="K465" s="70"/>
      <c r="L465" s="24"/>
      <c r="M465" s="86"/>
      <c r="N465" s="66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</row>
    <row r="466" spans="1:29">
      <c r="A466" s="21"/>
      <c r="B466" s="21"/>
      <c r="C466" s="21"/>
      <c r="D466" s="21"/>
      <c r="E466" s="21"/>
      <c r="F466" s="21"/>
      <c r="G466" s="21"/>
      <c r="H466" s="21"/>
      <c r="I466" s="21"/>
      <c r="J466" s="86"/>
      <c r="K466" s="70"/>
      <c r="L466" s="24"/>
      <c r="M466" s="86"/>
      <c r="N466" s="66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</row>
    <row r="467" spans="1:29">
      <c r="A467" s="21"/>
      <c r="B467" s="21"/>
      <c r="C467" s="21"/>
      <c r="D467" s="21"/>
      <c r="E467" s="21"/>
      <c r="F467" s="21"/>
      <c r="G467" s="21"/>
      <c r="H467" s="21"/>
      <c r="I467" s="21"/>
      <c r="J467" s="86"/>
      <c r="K467" s="70"/>
      <c r="L467" s="24"/>
      <c r="M467" s="86"/>
      <c r="N467" s="66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</row>
    <row r="468" spans="1:29">
      <c r="A468" s="21"/>
      <c r="B468" s="21"/>
      <c r="C468" s="21"/>
      <c r="D468" s="21"/>
      <c r="E468" s="21"/>
      <c r="F468" s="21"/>
      <c r="G468" s="21"/>
      <c r="H468" s="21"/>
      <c r="I468" s="21"/>
      <c r="J468" s="86"/>
      <c r="K468" s="70"/>
      <c r="L468" s="24"/>
      <c r="M468" s="86"/>
      <c r="N468" s="66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</row>
    <row r="469" spans="1:29">
      <c r="A469" s="21"/>
      <c r="B469" s="21"/>
      <c r="C469" s="21"/>
      <c r="D469" s="21"/>
      <c r="E469" s="21"/>
      <c r="F469" s="21"/>
      <c r="G469" s="21"/>
      <c r="H469" s="21"/>
      <c r="I469" s="21"/>
      <c r="J469" s="86"/>
      <c r="K469" s="70"/>
      <c r="L469" s="24"/>
      <c r="M469" s="86"/>
      <c r="N469" s="66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</row>
    <row r="470" spans="1:29">
      <c r="A470" s="21"/>
      <c r="B470" s="21"/>
      <c r="C470" s="21"/>
      <c r="D470" s="21"/>
      <c r="E470" s="21"/>
      <c r="F470" s="21"/>
      <c r="G470" s="21"/>
      <c r="H470" s="21"/>
      <c r="I470" s="21"/>
      <c r="J470" s="86"/>
      <c r="K470" s="70"/>
      <c r="L470" s="24"/>
      <c r="M470" s="86"/>
      <c r="N470" s="66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</row>
    <row r="471" spans="1:29">
      <c r="A471" s="21"/>
      <c r="B471" s="21"/>
      <c r="C471" s="21"/>
      <c r="D471" s="21"/>
      <c r="E471" s="21"/>
      <c r="F471" s="21"/>
      <c r="G471" s="21"/>
      <c r="H471" s="21"/>
      <c r="I471" s="21"/>
      <c r="J471" s="86"/>
      <c r="K471" s="70"/>
      <c r="L471" s="24"/>
      <c r="M471" s="86"/>
      <c r="N471" s="66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</row>
    <row r="472" spans="1:29">
      <c r="A472" s="21"/>
      <c r="B472" s="21"/>
      <c r="C472" s="21"/>
      <c r="D472" s="21"/>
      <c r="E472" s="21"/>
      <c r="F472" s="21"/>
      <c r="G472" s="21"/>
      <c r="H472" s="21"/>
      <c r="I472" s="21"/>
      <c r="J472" s="86"/>
      <c r="K472" s="70"/>
      <c r="L472" s="24"/>
      <c r="M472" s="86"/>
      <c r="N472" s="66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</row>
    <row r="473" spans="1:29">
      <c r="A473" s="21"/>
      <c r="B473" s="21"/>
      <c r="C473" s="21"/>
      <c r="D473" s="21"/>
      <c r="E473" s="21"/>
      <c r="F473" s="21"/>
      <c r="G473" s="21"/>
      <c r="H473" s="21"/>
      <c r="I473" s="21"/>
      <c r="J473" s="86"/>
      <c r="K473" s="70"/>
      <c r="L473" s="24"/>
      <c r="M473" s="86"/>
      <c r="N473" s="66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</row>
    <row r="474" spans="1:29">
      <c r="A474" s="21"/>
      <c r="B474" s="21"/>
      <c r="C474" s="21"/>
      <c r="D474" s="21"/>
      <c r="E474" s="21"/>
      <c r="F474" s="21"/>
      <c r="G474" s="21"/>
      <c r="H474" s="21"/>
      <c r="I474" s="21"/>
      <c r="J474" s="86"/>
      <c r="K474" s="70"/>
      <c r="L474" s="24"/>
      <c r="M474" s="86"/>
      <c r="N474" s="66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</row>
    <row r="475" spans="1:29">
      <c r="A475" s="21"/>
      <c r="B475" s="21"/>
      <c r="C475" s="21"/>
      <c r="D475" s="21"/>
      <c r="E475" s="21"/>
      <c r="F475" s="21"/>
      <c r="G475" s="21"/>
      <c r="H475" s="21"/>
      <c r="I475" s="21"/>
      <c r="J475" s="86"/>
      <c r="K475" s="70"/>
      <c r="L475" s="24"/>
      <c r="M475" s="86"/>
      <c r="N475" s="66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</row>
    <row r="476" spans="1:29">
      <c r="A476" s="21"/>
      <c r="B476" s="21"/>
      <c r="C476" s="21"/>
      <c r="D476" s="21"/>
      <c r="E476" s="21"/>
      <c r="F476" s="21"/>
      <c r="G476" s="21"/>
      <c r="H476" s="21"/>
      <c r="I476" s="21"/>
      <c r="J476" s="86"/>
      <c r="K476" s="70"/>
      <c r="L476" s="24"/>
      <c r="M476" s="86"/>
      <c r="N476" s="66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</row>
    <row r="477" spans="1:29">
      <c r="A477" s="21"/>
      <c r="B477" s="21"/>
      <c r="C477" s="21"/>
      <c r="D477" s="21"/>
      <c r="E477" s="21"/>
      <c r="F477" s="21"/>
      <c r="G477" s="21"/>
      <c r="H477" s="21"/>
      <c r="I477" s="21"/>
      <c r="J477" s="86"/>
      <c r="K477" s="70"/>
      <c r="L477" s="24"/>
      <c r="M477" s="86"/>
      <c r="N477" s="66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</row>
    <row r="478" spans="1:29">
      <c r="A478" s="21"/>
      <c r="B478" s="21"/>
      <c r="C478" s="21"/>
      <c r="D478" s="21"/>
      <c r="E478" s="21"/>
      <c r="F478" s="21"/>
      <c r="G478" s="21"/>
      <c r="H478" s="21"/>
      <c r="I478" s="21"/>
      <c r="J478" s="86"/>
      <c r="K478" s="70"/>
      <c r="L478" s="24"/>
      <c r="M478" s="86"/>
      <c r="N478" s="66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</row>
    <row r="479" spans="1:29">
      <c r="A479" s="21"/>
      <c r="B479" s="21"/>
      <c r="C479" s="21"/>
      <c r="D479" s="21"/>
      <c r="E479" s="21"/>
      <c r="F479" s="21"/>
      <c r="G479" s="21"/>
      <c r="H479" s="21"/>
      <c r="I479" s="21"/>
      <c r="J479" s="86"/>
      <c r="K479" s="70"/>
      <c r="L479" s="24"/>
      <c r="M479" s="86"/>
      <c r="N479" s="66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</row>
    <row r="480" spans="1:29">
      <c r="A480" s="21"/>
      <c r="B480" s="21"/>
      <c r="C480" s="21"/>
      <c r="D480" s="21"/>
      <c r="E480" s="21"/>
      <c r="F480" s="21"/>
      <c r="G480" s="21"/>
      <c r="H480" s="21"/>
      <c r="I480" s="21"/>
      <c r="J480" s="86"/>
      <c r="K480" s="70"/>
      <c r="L480" s="24"/>
      <c r="M480" s="86"/>
      <c r="N480" s="66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</row>
    <row r="481" spans="1:29">
      <c r="A481" s="21"/>
      <c r="B481" s="21"/>
      <c r="C481" s="21"/>
      <c r="D481" s="21"/>
      <c r="E481" s="21"/>
      <c r="F481" s="21"/>
      <c r="G481" s="21"/>
      <c r="H481" s="21"/>
      <c r="I481" s="21"/>
      <c r="J481" s="86"/>
      <c r="K481" s="70"/>
      <c r="L481" s="24"/>
      <c r="M481" s="86"/>
      <c r="N481" s="66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</row>
    <row r="482" spans="1:29">
      <c r="A482" s="21"/>
      <c r="B482" s="21"/>
      <c r="C482" s="21"/>
      <c r="D482" s="21"/>
      <c r="E482" s="21"/>
      <c r="F482" s="21"/>
      <c r="G482" s="21"/>
      <c r="H482" s="21"/>
      <c r="I482" s="21"/>
      <c r="J482" s="86"/>
      <c r="K482" s="70"/>
      <c r="L482" s="24"/>
      <c r="M482" s="86"/>
      <c r="N482" s="66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</row>
    <row r="483" spans="1:29">
      <c r="A483" s="21"/>
      <c r="B483" s="21"/>
      <c r="C483" s="21"/>
      <c r="D483" s="21"/>
      <c r="E483" s="21"/>
      <c r="F483" s="21"/>
      <c r="G483" s="21"/>
      <c r="H483" s="21"/>
      <c r="I483" s="21"/>
      <c r="J483" s="86"/>
      <c r="K483" s="70"/>
      <c r="L483" s="24"/>
      <c r="M483" s="86"/>
      <c r="N483" s="66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</row>
    <row r="484" spans="1:29">
      <c r="A484" s="21"/>
      <c r="B484" s="21"/>
      <c r="C484" s="21"/>
      <c r="D484" s="21"/>
      <c r="E484" s="21"/>
      <c r="F484" s="21"/>
      <c r="G484" s="21"/>
      <c r="H484" s="21"/>
      <c r="I484" s="21"/>
      <c r="J484" s="86"/>
      <c r="K484" s="70"/>
      <c r="L484" s="24"/>
      <c r="M484" s="86"/>
      <c r="N484" s="66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</row>
    <row r="485" spans="1:29">
      <c r="A485" s="21"/>
      <c r="B485" s="21"/>
      <c r="C485" s="21"/>
      <c r="D485" s="21"/>
      <c r="E485" s="21"/>
      <c r="F485" s="21"/>
      <c r="G485" s="21"/>
      <c r="H485" s="21"/>
      <c r="I485" s="21"/>
      <c r="J485" s="86"/>
      <c r="K485" s="70"/>
      <c r="L485" s="24"/>
      <c r="M485" s="86"/>
      <c r="N485" s="66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</row>
    <row r="486" spans="1:29">
      <c r="A486" s="21"/>
      <c r="B486" s="21"/>
      <c r="C486" s="21"/>
      <c r="D486" s="21"/>
      <c r="E486" s="21"/>
      <c r="F486" s="21"/>
      <c r="G486" s="21"/>
      <c r="H486" s="21"/>
      <c r="I486" s="21"/>
      <c r="J486" s="86"/>
      <c r="K486" s="70"/>
      <c r="L486" s="24"/>
      <c r="M486" s="86"/>
      <c r="N486" s="66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</row>
    <row r="487" spans="1:29">
      <c r="A487" s="21"/>
      <c r="B487" s="21"/>
      <c r="C487" s="21"/>
      <c r="D487" s="21"/>
      <c r="E487" s="21"/>
      <c r="F487" s="21"/>
      <c r="G487" s="21"/>
      <c r="H487" s="21"/>
      <c r="I487" s="21"/>
      <c r="J487" s="86"/>
      <c r="K487" s="70"/>
      <c r="L487" s="24"/>
      <c r="M487" s="86"/>
      <c r="N487" s="66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</row>
    <row r="488" spans="1:29">
      <c r="A488" s="21"/>
      <c r="B488" s="21"/>
      <c r="C488" s="21"/>
      <c r="D488" s="21"/>
      <c r="E488" s="21"/>
      <c r="F488" s="21"/>
      <c r="G488" s="21"/>
      <c r="H488" s="21"/>
      <c r="I488" s="21"/>
      <c r="J488" s="86"/>
      <c r="K488" s="70"/>
      <c r="L488" s="24"/>
      <c r="M488" s="86"/>
      <c r="N488" s="66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</row>
    <row r="489" spans="1:29">
      <c r="A489" s="21"/>
      <c r="B489" s="21"/>
      <c r="C489" s="21"/>
      <c r="D489" s="21"/>
      <c r="E489" s="21"/>
      <c r="F489" s="21"/>
      <c r="G489" s="21"/>
      <c r="H489" s="21"/>
      <c r="I489" s="21"/>
      <c r="J489" s="86"/>
      <c r="K489" s="70"/>
      <c r="L489" s="24"/>
      <c r="M489" s="86"/>
      <c r="N489" s="66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</row>
    <row r="490" spans="1:29">
      <c r="A490" s="21"/>
      <c r="B490" s="21"/>
      <c r="C490" s="21"/>
      <c r="D490" s="21"/>
      <c r="E490" s="21"/>
      <c r="F490" s="21"/>
      <c r="G490" s="21"/>
      <c r="H490" s="21"/>
      <c r="I490" s="21"/>
      <c r="J490" s="86"/>
      <c r="K490" s="70"/>
      <c r="L490" s="24"/>
      <c r="M490" s="86"/>
      <c r="N490" s="66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</row>
    <row r="491" spans="1:29">
      <c r="A491" s="21"/>
      <c r="B491" s="21"/>
      <c r="C491" s="21"/>
      <c r="D491" s="21"/>
      <c r="E491" s="21"/>
      <c r="F491" s="21"/>
      <c r="G491" s="21"/>
      <c r="H491" s="21"/>
      <c r="I491" s="21"/>
      <c r="J491" s="86"/>
      <c r="K491" s="70"/>
      <c r="L491" s="24"/>
      <c r="M491" s="86"/>
      <c r="N491" s="66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</row>
    <row r="492" spans="1:29">
      <c r="A492" s="21"/>
      <c r="B492" s="21"/>
      <c r="C492" s="21"/>
      <c r="D492" s="21"/>
      <c r="E492" s="21"/>
      <c r="F492" s="21"/>
      <c r="G492" s="21"/>
      <c r="H492" s="21"/>
      <c r="I492" s="21"/>
      <c r="J492" s="86"/>
      <c r="K492" s="70"/>
      <c r="L492" s="24"/>
      <c r="M492" s="86"/>
      <c r="N492" s="66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</row>
    <row r="493" spans="1:29">
      <c r="A493" s="21"/>
      <c r="B493" s="21"/>
      <c r="C493" s="21"/>
      <c r="D493" s="21"/>
      <c r="E493" s="21"/>
      <c r="F493" s="21"/>
      <c r="G493" s="21"/>
      <c r="H493" s="21"/>
      <c r="I493" s="21"/>
      <c r="J493" s="86"/>
      <c r="K493" s="70"/>
      <c r="L493" s="24"/>
      <c r="M493" s="86"/>
      <c r="N493" s="66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</row>
    <row r="494" spans="1:29">
      <c r="A494" s="21"/>
      <c r="B494" s="21"/>
      <c r="C494" s="21"/>
      <c r="D494" s="21"/>
      <c r="E494" s="21"/>
      <c r="F494" s="21"/>
      <c r="G494" s="21"/>
      <c r="H494" s="21"/>
      <c r="I494" s="21"/>
      <c r="J494" s="86"/>
      <c r="K494" s="70"/>
      <c r="L494" s="24"/>
      <c r="M494" s="86"/>
      <c r="N494" s="66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</row>
    <row r="495" spans="1:29">
      <c r="A495" s="21"/>
      <c r="B495" s="21"/>
      <c r="C495" s="21"/>
      <c r="D495" s="21"/>
      <c r="E495" s="21"/>
      <c r="F495" s="21"/>
      <c r="G495" s="21"/>
      <c r="H495" s="21"/>
      <c r="I495" s="21"/>
      <c r="J495" s="86"/>
      <c r="K495" s="70"/>
      <c r="L495" s="24"/>
      <c r="M495" s="86"/>
      <c r="N495" s="66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</row>
    <row r="496" spans="1:29">
      <c r="A496" s="21"/>
      <c r="B496" s="21"/>
      <c r="C496" s="21"/>
      <c r="D496" s="21"/>
      <c r="E496" s="21"/>
      <c r="F496" s="21"/>
      <c r="G496" s="21"/>
      <c r="H496" s="21"/>
      <c r="I496" s="21"/>
      <c r="J496" s="86"/>
      <c r="K496" s="70"/>
      <c r="L496" s="24"/>
      <c r="M496" s="86"/>
      <c r="N496" s="66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</row>
    <row r="497" spans="1:29">
      <c r="A497" s="21"/>
      <c r="B497" s="21"/>
      <c r="C497" s="21"/>
      <c r="D497" s="21"/>
      <c r="E497" s="21"/>
      <c r="F497" s="21"/>
      <c r="G497" s="21"/>
      <c r="H497" s="21"/>
      <c r="I497" s="21"/>
      <c r="J497" s="86"/>
      <c r="K497" s="70"/>
      <c r="L497" s="24"/>
      <c r="M497" s="86"/>
      <c r="N497" s="66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</row>
    <row r="498" spans="1:29">
      <c r="A498" s="21"/>
      <c r="B498" s="21"/>
      <c r="C498" s="21"/>
      <c r="D498" s="21"/>
      <c r="E498" s="21"/>
      <c r="F498" s="21"/>
      <c r="G498" s="21"/>
      <c r="H498" s="21"/>
      <c r="I498" s="21"/>
      <c r="J498" s="86"/>
      <c r="K498" s="70"/>
      <c r="L498" s="24"/>
      <c r="M498" s="86"/>
      <c r="N498" s="66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</row>
    <row r="499" spans="1:29">
      <c r="A499" s="21"/>
      <c r="B499" s="21"/>
      <c r="C499" s="21"/>
      <c r="D499" s="21"/>
      <c r="E499" s="21"/>
      <c r="F499" s="21"/>
      <c r="G499" s="21"/>
      <c r="H499" s="21"/>
      <c r="I499" s="21"/>
      <c r="J499" s="86"/>
      <c r="K499" s="70"/>
      <c r="L499" s="24"/>
      <c r="M499" s="86"/>
      <c r="N499" s="66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</row>
    <row r="500" spans="1:29">
      <c r="A500" s="21"/>
      <c r="B500" s="21"/>
      <c r="C500" s="21"/>
      <c r="D500" s="21"/>
      <c r="E500" s="21"/>
      <c r="F500" s="21"/>
      <c r="G500" s="21"/>
      <c r="H500" s="21"/>
      <c r="I500" s="21"/>
      <c r="J500" s="86"/>
      <c r="K500" s="70"/>
      <c r="L500" s="24"/>
      <c r="M500" s="86"/>
      <c r="N500" s="66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</row>
    <row r="501" spans="1:29">
      <c r="A501" s="21"/>
      <c r="B501" s="21"/>
      <c r="C501" s="21"/>
      <c r="D501" s="21"/>
      <c r="E501" s="21"/>
      <c r="F501" s="21"/>
      <c r="G501" s="21"/>
      <c r="H501" s="21"/>
      <c r="I501" s="21"/>
      <c r="J501" s="86"/>
      <c r="K501" s="70"/>
      <c r="L501" s="24"/>
      <c r="M501" s="86"/>
      <c r="N501" s="66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</row>
    <row r="502" spans="1:29">
      <c r="A502" s="21"/>
      <c r="B502" s="21"/>
      <c r="C502" s="21"/>
      <c r="D502" s="21"/>
      <c r="E502" s="21"/>
      <c r="F502" s="21"/>
      <c r="G502" s="21"/>
      <c r="H502" s="21"/>
      <c r="I502" s="21"/>
      <c r="J502" s="86"/>
      <c r="K502" s="70"/>
      <c r="L502" s="24"/>
      <c r="M502" s="86"/>
      <c r="N502" s="66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</row>
    <row r="503" spans="1:29">
      <c r="A503" s="21"/>
      <c r="B503" s="21"/>
      <c r="C503" s="21"/>
      <c r="D503" s="21"/>
      <c r="E503" s="21"/>
      <c r="F503" s="21"/>
      <c r="G503" s="21"/>
      <c r="H503" s="21"/>
      <c r="I503" s="21"/>
      <c r="J503" s="86"/>
      <c r="K503" s="70"/>
      <c r="L503" s="24"/>
      <c r="M503" s="86"/>
      <c r="N503" s="66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</row>
    <row r="504" spans="1:29">
      <c r="A504" s="21"/>
      <c r="B504" s="21"/>
      <c r="C504" s="21"/>
      <c r="D504" s="21"/>
      <c r="E504" s="21"/>
      <c r="F504" s="21"/>
      <c r="G504" s="21"/>
      <c r="H504" s="21"/>
      <c r="I504" s="21"/>
      <c r="J504" s="86"/>
      <c r="K504" s="70"/>
      <c r="L504" s="24"/>
      <c r="M504" s="86"/>
      <c r="N504" s="66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</row>
    <row r="505" spans="1:29">
      <c r="A505" s="21"/>
      <c r="B505" s="21"/>
      <c r="C505" s="21"/>
      <c r="D505" s="21"/>
      <c r="E505" s="21"/>
      <c r="F505" s="21"/>
      <c r="G505" s="21"/>
      <c r="H505" s="21"/>
      <c r="I505" s="21"/>
      <c r="J505" s="86"/>
      <c r="K505" s="70"/>
      <c r="L505" s="24"/>
      <c r="M505" s="86"/>
      <c r="N505" s="66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</row>
    <row r="506" spans="1:29">
      <c r="A506" s="21"/>
      <c r="B506" s="21"/>
      <c r="C506" s="21"/>
      <c r="D506" s="21"/>
      <c r="E506" s="21"/>
      <c r="F506" s="21"/>
      <c r="G506" s="21"/>
      <c r="H506" s="21"/>
      <c r="I506" s="21"/>
      <c r="J506" s="86"/>
      <c r="K506" s="70"/>
      <c r="L506" s="24"/>
      <c r="M506" s="86"/>
      <c r="N506" s="66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</row>
    <row r="507" spans="1:29">
      <c r="A507" s="21"/>
      <c r="B507" s="21"/>
      <c r="C507" s="21"/>
      <c r="D507" s="21"/>
      <c r="E507" s="21"/>
      <c r="F507" s="21"/>
      <c r="G507" s="21"/>
      <c r="H507" s="21"/>
      <c r="I507" s="21"/>
      <c r="J507" s="86"/>
      <c r="K507" s="70"/>
      <c r="L507" s="24"/>
      <c r="M507" s="86"/>
      <c r="N507" s="66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</row>
    <row r="508" spans="1:29">
      <c r="A508" s="21"/>
      <c r="B508" s="21"/>
      <c r="C508" s="21"/>
      <c r="D508" s="21"/>
      <c r="E508" s="21"/>
      <c r="F508" s="21"/>
      <c r="G508" s="21"/>
      <c r="H508" s="21"/>
      <c r="I508" s="21"/>
      <c r="J508" s="86"/>
      <c r="K508" s="70"/>
      <c r="L508" s="24"/>
      <c r="M508" s="86"/>
      <c r="N508" s="66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</row>
    <row r="509" spans="1:29">
      <c r="A509" s="21"/>
      <c r="B509" s="21"/>
      <c r="C509" s="21"/>
      <c r="D509" s="21"/>
      <c r="E509" s="21"/>
      <c r="F509" s="21"/>
      <c r="G509" s="21"/>
      <c r="H509" s="21"/>
      <c r="I509" s="21"/>
      <c r="J509" s="86"/>
      <c r="K509" s="70"/>
      <c r="L509" s="24"/>
      <c r="M509" s="86"/>
      <c r="N509" s="66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</row>
    <row r="510" spans="1:29">
      <c r="A510" s="21"/>
      <c r="B510" s="21"/>
      <c r="C510" s="21"/>
      <c r="D510" s="21"/>
      <c r="E510" s="21"/>
      <c r="F510" s="21"/>
      <c r="G510" s="21"/>
      <c r="H510" s="21"/>
      <c r="I510" s="21"/>
      <c r="J510" s="86"/>
      <c r="K510" s="70"/>
      <c r="L510" s="24"/>
      <c r="M510" s="86"/>
      <c r="N510" s="66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</row>
    <row r="511" spans="1:29">
      <c r="A511" s="21"/>
      <c r="B511" s="21"/>
      <c r="C511" s="21"/>
      <c r="D511" s="21"/>
      <c r="E511" s="21"/>
      <c r="F511" s="21"/>
      <c r="G511" s="21"/>
      <c r="H511" s="21"/>
      <c r="I511" s="21"/>
      <c r="J511" s="86"/>
      <c r="K511" s="70"/>
      <c r="L511" s="24"/>
      <c r="M511" s="86"/>
      <c r="N511" s="66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</row>
    <row r="512" spans="1:29">
      <c r="A512" s="21"/>
      <c r="B512" s="21"/>
      <c r="C512" s="21"/>
      <c r="D512" s="21"/>
      <c r="E512" s="21"/>
      <c r="F512" s="21"/>
      <c r="G512" s="21"/>
      <c r="H512" s="21"/>
      <c r="I512" s="21"/>
      <c r="J512" s="86"/>
      <c r="K512" s="70"/>
      <c r="L512" s="24"/>
      <c r="M512" s="86"/>
      <c r="N512" s="66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</row>
    <row r="513" spans="1:29">
      <c r="A513" s="21"/>
      <c r="B513" s="21"/>
      <c r="C513" s="21"/>
      <c r="D513" s="21"/>
      <c r="E513" s="21"/>
      <c r="F513" s="21"/>
      <c r="G513" s="21"/>
      <c r="H513" s="21"/>
      <c r="I513" s="21"/>
      <c r="J513" s="86"/>
      <c r="K513" s="70"/>
      <c r="L513" s="24"/>
      <c r="M513" s="86"/>
      <c r="N513" s="66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</row>
  </sheetData>
  <autoFilter ref="J1:N1"/>
  <phoneticPr fontId="3" type="noConversion"/>
  <pageMargins left="0.75" right="0.75" top="1" bottom="1" header="0.5" footer="0.5"/>
  <pageSetup paperSize="9" scale="76" orientation="portrait" horizontalDpi="4294967294" r:id="rId1"/>
  <headerFooter alignWithMargins="0"/>
  <colBreaks count="1" manualBreakCount="1"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6"/>
  <dimension ref="A1:AP386"/>
  <sheetViews>
    <sheetView showGridLines="0" view="pageBreakPreview" zoomScaleNormal="100" workbookViewId="0">
      <selection activeCell="J1" sqref="J1"/>
    </sheetView>
  </sheetViews>
  <sheetFormatPr defaultRowHeight="12.75"/>
  <cols>
    <col min="2" max="2" width="19.140625" hidden="1" customWidth="1"/>
    <col min="3" max="6" width="0" hidden="1" customWidth="1"/>
    <col min="8" max="8" width="0" hidden="1" customWidth="1"/>
    <col min="10" max="10" width="30.85546875" style="87" customWidth="1"/>
    <col min="11" max="11" width="13.85546875" style="73" bestFit="1" customWidth="1"/>
    <col min="12" max="12" width="5.140625" hidden="1" customWidth="1"/>
    <col min="13" max="13" width="30.5703125" style="87" customWidth="1"/>
    <col min="14" max="14" width="11.42578125" style="75" bestFit="1" customWidth="1"/>
  </cols>
  <sheetData>
    <row r="1" spans="2:31" ht="19.5" thickTop="1" thickBot="1">
      <c r="J1" s="58" t="s">
        <v>12</v>
      </c>
      <c r="K1" s="67" t="s">
        <v>13</v>
      </c>
      <c r="L1" s="58"/>
      <c r="M1" s="89" t="s">
        <v>14</v>
      </c>
      <c r="N1" s="58" t="s">
        <v>15</v>
      </c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2:31" ht="17.25" thickTop="1" thickBot="1">
      <c r="B2" t="str">
        <f>wyniki!B8</f>
        <v>Dąbrowski Mateusz</v>
      </c>
      <c r="C2" s="56">
        <f>wyniki!I8</f>
        <v>417</v>
      </c>
      <c r="D2" s="18">
        <v>1.0000000000000001E-5</v>
      </c>
      <c r="E2" s="56">
        <f>C2+D2</f>
        <v>417.00000999999997</v>
      </c>
      <c r="F2" t="str">
        <f>wyniki!$A$7</f>
        <v>SP8 Siedlce</v>
      </c>
      <c r="J2" s="79" t="str">
        <f>INDEX($B$2:$E$241,L2,1)</f>
        <v>Świder Tymoteusz</v>
      </c>
      <c r="K2" s="69">
        <f>LARGE($E$2:$E$241,1)</f>
        <v>560.00004999999999</v>
      </c>
      <c r="L2" s="59">
        <f>MATCH(K2,$E$2:$E$241,0)</f>
        <v>5</v>
      </c>
      <c r="M2" s="90" t="str">
        <f>INDEX($E$2:$F$241,L2,2)</f>
        <v>SP8 Siedlce</v>
      </c>
      <c r="N2" s="37">
        <v>1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2:31" ht="17.25" thickTop="1" thickBot="1">
      <c r="B3" t="str">
        <f>wyniki!B9</f>
        <v>Iliński Aleksander</v>
      </c>
      <c r="C3" s="56">
        <f>wyniki!I9</f>
        <v>457</v>
      </c>
      <c r="D3" s="18">
        <v>2.0000000000000002E-5</v>
      </c>
      <c r="E3" s="56">
        <f t="shared" ref="E3:E66" si="0">C3+D3</f>
        <v>457.00002000000001</v>
      </c>
      <c r="F3" t="str">
        <f>wyniki!$A$7</f>
        <v>SP8 Siedlce</v>
      </c>
      <c r="J3" s="79" t="str">
        <f t="shared" ref="J3:J66" si="1">INDEX($B$2:$E$241,L3,1)</f>
        <v>Kałęcki Bartosz</v>
      </c>
      <c r="K3" s="69">
        <f>LARGE($E$2:$E$241,2)</f>
        <v>547.00050999999996</v>
      </c>
      <c r="L3" s="59">
        <f t="shared" ref="L3:L66" si="2">MATCH(K3,$E$2:$E$241,0)</f>
        <v>51</v>
      </c>
      <c r="M3" s="90" t="str">
        <f t="shared" ref="M3:M66" si="3">INDEX($E$2:$F$241,L3,2)</f>
        <v>SP154 Warszawa</v>
      </c>
      <c r="N3" s="37">
        <v>2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2:31" ht="17.25" thickTop="1" thickBot="1">
      <c r="B4" t="str">
        <f>wyniki!B10</f>
        <v>Ługowski Bartosz</v>
      </c>
      <c r="C4" s="56">
        <f>wyniki!I10</f>
        <v>420</v>
      </c>
      <c r="D4" s="18">
        <v>3.0000000000000001E-5</v>
      </c>
      <c r="E4" s="56">
        <f t="shared" si="0"/>
        <v>420.00002999999998</v>
      </c>
      <c r="F4" t="str">
        <f>wyniki!$A$7</f>
        <v>SP8 Siedlce</v>
      </c>
      <c r="J4" s="79" t="str">
        <f t="shared" si="1"/>
        <v>Sołomski Oliwier</v>
      </c>
      <c r="K4" s="69">
        <f>LARGE($E$2:$E$241,3)</f>
        <v>538.00045999999998</v>
      </c>
      <c r="L4" s="59">
        <f t="shared" si="2"/>
        <v>46</v>
      </c>
      <c r="M4" s="90" t="str">
        <f t="shared" si="3"/>
        <v>SP Zielonki Parcela</v>
      </c>
      <c r="N4" s="37">
        <v>3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spans="2:31" ht="17.25" thickTop="1" thickBot="1">
      <c r="B5" t="str">
        <f>wyniki!B11</f>
        <v>Redes Maciej</v>
      </c>
      <c r="C5" s="56">
        <f>wyniki!I11</f>
        <v>417</v>
      </c>
      <c r="D5" s="18">
        <v>4.0000000000000003E-5</v>
      </c>
      <c r="E5" s="56">
        <f t="shared" si="0"/>
        <v>417.00004000000001</v>
      </c>
      <c r="F5" t="str">
        <f>wyniki!$A$7</f>
        <v>SP8 Siedlce</v>
      </c>
      <c r="J5" s="79" t="str">
        <f t="shared" si="1"/>
        <v>Tuczyński Aleksander</v>
      </c>
      <c r="K5" s="69">
        <f>LARGE($E$2:$E$241,4)</f>
        <v>503.00040000000001</v>
      </c>
      <c r="L5" s="59">
        <f t="shared" si="2"/>
        <v>40</v>
      </c>
      <c r="M5" s="90" t="str">
        <f t="shared" si="3"/>
        <v>SP204 Warszawa</v>
      </c>
      <c r="N5" s="37">
        <v>4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2:31" ht="17.25" thickTop="1" thickBot="1">
      <c r="B6" t="str">
        <f>wyniki!B12</f>
        <v>Świder Tymoteusz</v>
      </c>
      <c r="C6" s="56">
        <f>wyniki!I12</f>
        <v>560</v>
      </c>
      <c r="D6" s="18">
        <v>5.0000000000000002E-5</v>
      </c>
      <c r="E6" s="56">
        <f t="shared" si="0"/>
        <v>560.00004999999999</v>
      </c>
      <c r="F6" t="str">
        <f>wyniki!$A$7</f>
        <v>SP8 Siedlce</v>
      </c>
      <c r="J6" s="79" t="str">
        <f t="shared" si="1"/>
        <v>Balcer Antoni</v>
      </c>
      <c r="K6" s="69">
        <f>LARGE($E$2:$E$241,5)</f>
        <v>502.00060999999999</v>
      </c>
      <c r="L6" s="59">
        <f t="shared" si="2"/>
        <v>61</v>
      </c>
      <c r="M6" s="90" t="str">
        <f t="shared" si="3"/>
        <v>SP2 Zielonka</v>
      </c>
      <c r="N6" s="37">
        <v>5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2:31" ht="17.25" thickTop="1" thickBot="1">
      <c r="B7" t="str">
        <f>wyniki!B13</f>
        <v>Nitychoruk Maciej</v>
      </c>
      <c r="C7" s="56">
        <f>wyniki!I13</f>
        <v>388</v>
      </c>
      <c r="D7" s="18">
        <v>6.0000000000000002E-5</v>
      </c>
      <c r="E7" s="56">
        <f t="shared" si="0"/>
        <v>388.00006000000002</v>
      </c>
      <c r="F7" t="str">
        <f>wyniki!$A$7</f>
        <v>SP8 Siedlce</v>
      </c>
      <c r="J7" s="79" t="str">
        <f t="shared" si="1"/>
        <v>Równy Krystian</v>
      </c>
      <c r="K7" s="69">
        <f>LARGE($E$2:$E$241,6)</f>
        <v>498.00036</v>
      </c>
      <c r="L7" s="59">
        <f t="shared" si="2"/>
        <v>36</v>
      </c>
      <c r="M7" s="90" t="str">
        <f t="shared" si="3"/>
        <v>SP1 Ostrów Maz</v>
      </c>
      <c r="N7" s="37">
        <v>6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2:31" ht="17.25" thickTop="1" thickBot="1">
      <c r="B8" t="str">
        <f>wyniki!B15</f>
        <v>Kołacz Nikodem</v>
      </c>
      <c r="C8" s="56">
        <f>wyniki!I15</f>
        <v>361</v>
      </c>
      <c r="D8" s="18">
        <v>6.9999999999999994E-5</v>
      </c>
      <c r="E8" s="56">
        <f t="shared" si="0"/>
        <v>361.00006999999999</v>
      </c>
      <c r="F8" t="str">
        <f>wyniki!$A$14</f>
        <v>PSP24 Radom</v>
      </c>
      <c r="J8" s="79" t="str">
        <f t="shared" si="1"/>
        <v>Terlikowski Ignacy</v>
      </c>
      <c r="K8" s="69">
        <f>LARGE($E$2:$E$241,7)</f>
        <v>492.00029999999998</v>
      </c>
      <c r="L8" s="59">
        <f t="shared" si="2"/>
        <v>30</v>
      </c>
      <c r="M8" s="90" t="str">
        <f t="shared" si="3"/>
        <v>SP9 Siedlce</v>
      </c>
      <c r="N8" s="37">
        <v>7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2:31" ht="17.25" thickTop="1" thickBot="1">
      <c r="B9" t="str">
        <f>wyniki!B16</f>
        <v>Komar Wojciech</v>
      </c>
      <c r="C9" s="56">
        <f>wyniki!I16</f>
        <v>447</v>
      </c>
      <c r="D9" s="18">
        <v>8.0000000000000007E-5</v>
      </c>
      <c r="E9" s="56">
        <f t="shared" si="0"/>
        <v>447.00008000000003</v>
      </c>
      <c r="F9" t="str">
        <f>wyniki!$A$14</f>
        <v>PSP24 Radom</v>
      </c>
      <c r="J9" s="79" t="str">
        <f t="shared" si="1"/>
        <v>Tomiczak Jan</v>
      </c>
      <c r="K9" s="69">
        <f>LARGE($E$2:$E$241,8)</f>
        <v>490.00053000000003</v>
      </c>
      <c r="L9" s="59">
        <f t="shared" si="2"/>
        <v>53</v>
      </c>
      <c r="M9" s="90" t="str">
        <f t="shared" si="3"/>
        <v>SP154 Warszawa</v>
      </c>
      <c r="N9" s="37">
        <v>8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2:31" ht="17.25" thickTop="1" thickBot="1">
      <c r="B10" t="str">
        <f>wyniki!B17</f>
        <v>Markwat Natan</v>
      </c>
      <c r="C10" s="56">
        <f>wyniki!I17</f>
        <v>382</v>
      </c>
      <c r="D10" s="18">
        <v>9.0000000000000006E-5</v>
      </c>
      <c r="E10" s="56">
        <f t="shared" si="0"/>
        <v>382.00009</v>
      </c>
      <c r="F10" t="str">
        <f>wyniki!$A$14</f>
        <v>PSP24 Radom</v>
      </c>
      <c r="J10" s="79" t="str">
        <f t="shared" si="1"/>
        <v>Domżalski Szymon</v>
      </c>
      <c r="K10" s="69">
        <f>LARGE($E$2:$E$241,9)</f>
        <v>483.00067999999999</v>
      </c>
      <c r="L10" s="59">
        <f t="shared" si="2"/>
        <v>68</v>
      </c>
      <c r="M10" s="90" t="str">
        <f t="shared" si="3"/>
        <v>SP2 Mława</v>
      </c>
      <c r="N10" s="37">
        <v>9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2:31" ht="17.25" thickTop="1" thickBot="1">
      <c r="B11" t="str">
        <f>wyniki!B18</f>
        <v>Nowak Aleksander</v>
      </c>
      <c r="C11" s="56">
        <f>wyniki!I18</f>
        <v>427</v>
      </c>
      <c r="D11" s="18">
        <v>1E-4</v>
      </c>
      <c r="E11" s="56">
        <f t="shared" si="0"/>
        <v>427.00009999999997</v>
      </c>
      <c r="F11" t="str">
        <f>wyniki!$A$14</f>
        <v>PSP24 Radom</v>
      </c>
      <c r="J11" s="79" t="str">
        <f t="shared" si="1"/>
        <v>Staszkiewicz Michał</v>
      </c>
      <c r="K11" s="69">
        <f>LARGE($E$2:$E$241,10)</f>
        <v>477.00051999999999</v>
      </c>
      <c r="L11" s="59">
        <f t="shared" si="2"/>
        <v>52</v>
      </c>
      <c r="M11" s="90" t="str">
        <f t="shared" si="3"/>
        <v>SP154 Warszawa</v>
      </c>
      <c r="N11" s="37">
        <v>10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2:31" ht="17.25" thickTop="1" thickBot="1">
      <c r="B12" t="str">
        <f>wyniki!B19</f>
        <v>Trzos Szymon</v>
      </c>
      <c r="C12" s="56">
        <f>wyniki!I19</f>
        <v>401</v>
      </c>
      <c r="D12" s="18">
        <v>1.1E-4</v>
      </c>
      <c r="E12" s="56">
        <f t="shared" si="0"/>
        <v>401.00011000000001</v>
      </c>
      <c r="F12" t="str">
        <f>wyniki!$A$14</f>
        <v>PSP24 Radom</v>
      </c>
      <c r="J12" s="79" t="str">
        <f t="shared" si="1"/>
        <v>Zień Paweł</v>
      </c>
      <c r="K12" s="69">
        <f>LARGE($E$2:$E$241,11)</f>
        <v>475.00018</v>
      </c>
      <c r="L12" s="59">
        <f t="shared" si="2"/>
        <v>18</v>
      </c>
      <c r="M12" s="90" t="str">
        <f t="shared" si="3"/>
        <v>SP4 Pruszków</v>
      </c>
      <c r="N12" s="37">
        <v>11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2:31" ht="17.25" thickTop="1" thickBot="1">
      <c r="B13">
        <f>wyniki!B20</f>
        <v>0</v>
      </c>
      <c r="C13" s="56">
        <f>wyniki!I20</f>
        <v>0</v>
      </c>
      <c r="D13" s="18">
        <v>1.2E-4</v>
      </c>
      <c r="E13" s="56">
        <f t="shared" si="0"/>
        <v>1.2E-4</v>
      </c>
      <c r="F13" t="str">
        <f>wyniki!$A$14</f>
        <v>PSP24 Radom</v>
      </c>
      <c r="J13" s="79" t="str">
        <f t="shared" si="1"/>
        <v>Kushchak Kamil</v>
      </c>
      <c r="K13" s="69">
        <f>LARGE($E$2:$E$241,12)</f>
        <v>475.00013999999999</v>
      </c>
      <c r="L13" s="59">
        <f t="shared" si="2"/>
        <v>14</v>
      </c>
      <c r="M13" s="90" t="str">
        <f t="shared" si="3"/>
        <v>SP4 Pruszków</v>
      </c>
      <c r="N13" s="37">
        <v>12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2:31" ht="17.25" thickTop="1" thickBot="1">
      <c r="B14" t="str">
        <f>wyniki!B22</f>
        <v>Dąbrowski Aleksander</v>
      </c>
      <c r="C14" s="56">
        <f>wyniki!I22</f>
        <v>422</v>
      </c>
      <c r="D14" s="18">
        <v>1.2999999999999999E-4</v>
      </c>
      <c r="E14" s="56">
        <f t="shared" si="0"/>
        <v>422.00013000000001</v>
      </c>
      <c r="F14" t="str">
        <f>wyniki!$A$21</f>
        <v>SP4 Pruszków</v>
      </c>
      <c r="J14" s="79" t="str">
        <f t="shared" si="1"/>
        <v>Leszczyński Kacper</v>
      </c>
      <c r="K14" s="69">
        <f>LARGE($E$2:$E$241,13)</f>
        <v>472.00074000000001</v>
      </c>
      <c r="L14" s="59">
        <f t="shared" si="2"/>
        <v>74</v>
      </c>
      <c r="M14" s="90" t="str">
        <f t="shared" si="3"/>
        <v>SP18 Płock</v>
      </c>
      <c r="N14" s="37">
        <v>13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spans="2:31" ht="17.25" thickTop="1" thickBot="1">
      <c r="B15" t="str">
        <f>wyniki!B23</f>
        <v>Kushchak Kamil</v>
      </c>
      <c r="C15" s="56">
        <f>wyniki!I23</f>
        <v>475</v>
      </c>
      <c r="D15" s="18">
        <v>1.3999999999999999E-4</v>
      </c>
      <c r="E15" s="56">
        <f t="shared" si="0"/>
        <v>475.00013999999999</v>
      </c>
      <c r="F15" t="str">
        <f>wyniki!$A$21</f>
        <v>SP4 Pruszków</v>
      </c>
      <c r="J15" s="79" t="str">
        <f t="shared" si="1"/>
        <v>Lipiński Cyprian</v>
      </c>
      <c r="K15" s="69">
        <f>LARGE($E$2:$E$241,14)</f>
        <v>472.00015999999999</v>
      </c>
      <c r="L15" s="59">
        <f t="shared" si="2"/>
        <v>16</v>
      </c>
      <c r="M15" s="90" t="str">
        <f t="shared" si="3"/>
        <v>SP4 Pruszków</v>
      </c>
      <c r="N15" s="37">
        <v>14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2:31" ht="17.25" thickTop="1" thickBot="1">
      <c r="B16" t="str">
        <f>wyniki!B24</f>
        <v>Kwiatkowski Julian</v>
      </c>
      <c r="C16" s="56">
        <f>wyniki!I24</f>
        <v>447</v>
      </c>
      <c r="D16" s="18">
        <v>1.4999999999999999E-4</v>
      </c>
      <c r="E16" s="56">
        <f t="shared" si="0"/>
        <v>447.00015000000002</v>
      </c>
      <c r="F16" t="str">
        <f>wyniki!$A$21</f>
        <v>SP4 Pruszków</v>
      </c>
      <c r="J16" s="79" t="str">
        <f t="shared" si="1"/>
        <v>Michalski Piotr</v>
      </c>
      <c r="K16" s="69">
        <f>LARGE($E$2:$E$241,15)</f>
        <v>467.00076000000001</v>
      </c>
      <c r="L16" s="59">
        <f t="shared" si="2"/>
        <v>76</v>
      </c>
      <c r="M16" s="90" t="str">
        <f t="shared" si="3"/>
        <v>SP18 Płock</v>
      </c>
      <c r="N16" s="37">
        <v>15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2:31" ht="17.25" thickTop="1" thickBot="1">
      <c r="B17" t="str">
        <f>wyniki!B25</f>
        <v>Lipiński Cyprian</v>
      </c>
      <c r="C17" s="56">
        <f>wyniki!I25</f>
        <v>472</v>
      </c>
      <c r="D17" s="18">
        <v>1.6000000000000001E-4</v>
      </c>
      <c r="E17" s="56">
        <f t="shared" si="0"/>
        <v>472.00015999999999</v>
      </c>
      <c r="F17" t="str">
        <f>wyniki!$A$21</f>
        <v>SP4 Pruszków</v>
      </c>
      <c r="J17" s="79" t="str">
        <f t="shared" si="1"/>
        <v>Karbowski Aleksander</v>
      </c>
      <c r="K17" s="69">
        <f>LARGE($E$2:$E$241,16)</f>
        <v>466.00036999999998</v>
      </c>
      <c r="L17" s="59">
        <f t="shared" si="2"/>
        <v>37</v>
      </c>
      <c r="M17" s="90" t="str">
        <f t="shared" si="3"/>
        <v>SP204 Warszawa</v>
      </c>
      <c r="N17" s="37">
        <v>16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2:31" ht="17.25" thickTop="1" thickBot="1">
      <c r="B18" t="str">
        <f>wyniki!B26</f>
        <v>Miron Artur</v>
      </c>
      <c r="C18" s="56">
        <f>wyniki!I26</f>
        <v>441</v>
      </c>
      <c r="D18" s="18">
        <v>1.7000000000000001E-4</v>
      </c>
      <c r="E18" s="56">
        <f t="shared" si="0"/>
        <v>441.00017000000003</v>
      </c>
      <c r="F18" t="str">
        <f>wyniki!$A$21</f>
        <v>SP4 Pruszków</v>
      </c>
      <c r="J18" s="79" t="str">
        <f t="shared" si="1"/>
        <v>Kobielski Mateusz</v>
      </c>
      <c r="K18" s="69">
        <f>LARGE($E$2:$E$241,17)</f>
        <v>462.00062000000003</v>
      </c>
      <c r="L18" s="59">
        <f t="shared" si="2"/>
        <v>62</v>
      </c>
      <c r="M18" s="90" t="str">
        <f t="shared" si="3"/>
        <v>SP2 Zielonka</v>
      </c>
      <c r="N18" s="37">
        <v>17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2:31" ht="17.25" thickTop="1" thickBot="1">
      <c r="B19" t="str">
        <f>wyniki!B27</f>
        <v>Zień Paweł</v>
      </c>
      <c r="C19" s="56">
        <f>wyniki!I27</f>
        <v>475</v>
      </c>
      <c r="D19" s="18">
        <v>1.8000000000000001E-4</v>
      </c>
      <c r="E19" s="56">
        <f t="shared" si="0"/>
        <v>475.00018</v>
      </c>
      <c r="F19" t="str">
        <f>wyniki!$A$21</f>
        <v>SP4 Pruszków</v>
      </c>
      <c r="J19" s="79" t="str">
        <f t="shared" si="1"/>
        <v>Maliszewski Michał</v>
      </c>
      <c r="K19" s="69">
        <f>LARGE($E$2:$E$241,18)</f>
        <v>458.00035000000003</v>
      </c>
      <c r="L19" s="59">
        <f t="shared" si="2"/>
        <v>35</v>
      </c>
      <c r="M19" s="90" t="str">
        <f t="shared" si="3"/>
        <v>SP1 Ostrów Maz</v>
      </c>
      <c r="N19" s="37">
        <v>18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2:31" ht="17.25" thickTop="1" thickBot="1">
      <c r="B20" t="str">
        <f>wyniki!B29</f>
        <v>Banaszczyk Dawid</v>
      </c>
      <c r="C20" s="56">
        <f>wyniki!I29</f>
        <v>442</v>
      </c>
      <c r="D20" s="18">
        <v>1.9000000000000001E-4</v>
      </c>
      <c r="E20" s="56">
        <f t="shared" si="0"/>
        <v>442.00018999999998</v>
      </c>
      <c r="F20" t="str">
        <f>wyniki!$A$28</f>
        <v>SP2 Szydłowiec</v>
      </c>
      <c r="J20" s="79" t="str">
        <f t="shared" si="1"/>
        <v>Iliński Aleksander</v>
      </c>
      <c r="K20" s="69">
        <f>LARGE($E$2:$E$241,19)</f>
        <v>457.00002000000001</v>
      </c>
      <c r="L20" s="59">
        <f t="shared" si="2"/>
        <v>2</v>
      </c>
      <c r="M20" s="90" t="str">
        <f t="shared" si="3"/>
        <v>SP8 Siedlce</v>
      </c>
      <c r="N20" s="37">
        <v>19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</row>
    <row r="21" spans="2:31" ht="17.25" thickTop="1" thickBot="1">
      <c r="B21" t="str">
        <f>wyniki!B30</f>
        <v>Kroguec Antoni</v>
      </c>
      <c r="C21" s="56">
        <f>wyniki!I30</f>
        <v>432</v>
      </c>
      <c r="D21" s="18">
        <v>2.0000000000000001E-4</v>
      </c>
      <c r="E21" s="56">
        <f t="shared" si="0"/>
        <v>432.00020000000001</v>
      </c>
      <c r="F21" t="str">
        <f>wyniki!$A$28</f>
        <v>SP2 Szydłowiec</v>
      </c>
      <c r="J21" s="79" t="str">
        <f t="shared" si="1"/>
        <v>Kołodziej Adam</v>
      </c>
      <c r="K21" s="69">
        <f>LARGE($E$2:$E$241,20)</f>
        <v>456.00072999999998</v>
      </c>
      <c r="L21" s="59">
        <f t="shared" si="2"/>
        <v>73</v>
      </c>
      <c r="M21" s="90" t="str">
        <f t="shared" si="3"/>
        <v>SP18 Płock</v>
      </c>
      <c r="N21" s="37">
        <v>20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2:31" ht="17.25" thickTop="1" thickBot="1">
      <c r="B22" t="str">
        <f>wyniki!B31</f>
        <v>May Franciszek</v>
      </c>
      <c r="C22" s="56">
        <f>wyniki!I31</f>
        <v>441</v>
      </c>
      <c r="D22" s="18">
        <v>2.1000000000000001E-4</v>
      </c>
      <c r="E22" s="56">
        <f t="shared" si="0"/>
        <v>441.00020999999998</v>
      </c>
      <c r="F22" t="str">
        <f>wyniki!$A$28</f>
        <v>SP2 Szydłowiec</v>
      </c>
      <c r="J22" s="79" t="str">
        <f t="shared" si="1"/>
        <v>Wójcicki Maciej</v>
      </c>
      <c r="K22" s="69">
        <f>LARGE($E$2:$E$241,21)</f>
        <v>455.00047999999998</v>
      </c>
      <c r="L22" s="59">
        <f t="shared" si="2"/>
        <v>48</v>
      </c>
      <c r="M22" s="90" t="str">
        <f t="shared" si="3"/>
        <v>SP Zielonki Parcela</v>
      </c>
      <c r="N22" s="37">
        <v>21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2:31" ht="17.25" thickTop="1" thickBot="1">
      <c r="B23" t="str">
        <f>wyniki!B32</f>
        <v>Pawlak Kacper</v>
      </c>
      <c r="C23" s="56">
        <f>wyniki!I32</f>
        <v>414</v>
      </c>
      <c r="D23" s="18">
        <v>2.2000000000000001E-4</v>
      </c>
      <c r="E23" s="56">
        <f t="shared" si="0"/>
        <v>414.00022000000001</v>
      </c>
      <c r="F23" t="str">
        <f>wyniki!$A$28</f>
        <v>SP2 Szydłowiec</v>
      </c>
      <c r="J23" s="79" t="str">
        <f t="shared" si="1"/>
        <v>Sala Szymon</v>
      </c>
      <c r="K23" s="69">
        <f>LARGE($E$2:$E$241,22)</f>
        <v>454.00022999999999</v>
      </c>
      <c r="L23" s="59">
        <f t="shared" si="2"/>
        <v>23</v>
      </c>
      <c r="M23" s="90" t="str">
        <f t="shared" si="3"/>
        <v>SP2 Szydłowiec</v>
      </c>
      <c r="N23" s="37">
        <v>22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2:31" ht="17.25" thickTop="1" thickBot="1">
      <c r="B24" t="str">
        <f>wyniki!B33</f>
        <v>Sala Szymon</v>
      </c>
      <c r="C24" s="56">
        <f>wyniki!I33</f>
        <v>454</v>
      </c>
      <c r="D24" s="18">
        <v>2.3000000000000001E-4</v>
      </c>
      <c r="E24" s="56">
        <f t="shared" si="0"/>
        <v>454.00022999999999</v>
      </c>
      <c r="F24" t="str">
        <f>wyniki!$A$28</f>
        <v>SP2 Szydłowiec</v>
      </c>
      <c r="J24" s="79" t="str">
        <f t="shared" si="1"/>
        <v>Mirecki Mateusz</v>
      </c>
      <c r="K24" s="69">
        <f>LARGE($E$2:$E$241,23)</f>
        <v>453.00038000000001</v>
      </c>
      <c r="L24" s="59">
        <f t="shared" si="2"/>
        <v>38</v>
      </c>
      <c r="M24" s="90" t="str">
        <f t="shared" si="3"/>
        <v>SP204 Warszawa</v>
      </c>
      <c r="N24" s="37">
        <v>23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2:31" ht="17.25" thickTop="1" thickBot="1">
      <c r="B25" t="str">
        <f>wyniki!B34</f>
        <v>Walasik Kacper</v>
      </c>
      <c r="C25" s="56">
        <f>wyniki!I34</f>
        <v>401</v>
      </c>
      <c r="D25" s="18">
        <v>2.4000000000000001E-4</v>
      </c>
      <c r="E25" s="56">
        <f t="shared" si="0"/>
        <v>401.00024000000002</v>
      </c>
      <c r="F25" t="str">
        <f>wyniki!$A$28</f>
        <v>SP2 Szydłowiec</v>
      </c>
      <c r="J25" s="79" t="str">
        <f t="shared" si="1"/>
        <v>Kamiński Mateusz</v>
      </c>
      <c r="K25" s="69">
        <f>LARGE($E$2:$E$241,24)</f>
        <v>450.00026000000003</v>
      </c>
      <c r="L25" s="59">
        <f t="shared" si="2"/>
        <v>26</v>
      </c>
      <c r="M25" s="90" t="str">
        <f t="shared" si="3"/>
        <v>SP9 Siedlce</v>
      </c>
      <c r="N25" s="37">
        <v>24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2:31" ht="17.25" thickTop="1" thickBot="1">
      <c r="B26" t="str">
        <f>wyniki!B36</f>
        <v>Dąbrowski Bartosz</v>
      </c>
      <c r="C26" s="56">
        <f>wyniki!I36</f>
        <v>413</v>
      </c>
      <c r="D26" s="18">
        <v>2.5000000000000001E-4</v>
      </c>
      <c r="E26" s="56">
        <f t="shared" si="0"/>
        <v>413.00024999999999</v>
      </c>
      <c r="F26" t="str">
        <f>wyniki!$A$35</f>
        <v>SP9 Siedlce</v>
      </c>
      <c r="J26" s="79" t="str">
        <f t="shared" si="1"/>
        <v>Antosiak Maciej</v>
      </c>
      <c r="K26" s="69">
        <f>LARGE($E$2:$E$241,25)</f>
        <v>447.00054999999998</v>
      </c>
      <c r="L26" s="59">
        <f t="shared" si="2"/>
        <v>55</v>
      </c>
      <c r="M26" s="90" t="str">
        <f t="shared" si="3"/>
        <v xml:space="preserve">SP Jednorożec </v>
      </c>
      <c r="N26" s="37">
        <v>25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2:31" ht="17.25" thickTop="1" thickBot="1">
      <c r="B27" t="str">
        <f>wyniki!B37</f>
        <v>Kamiński Mateusz</v>
      </c>
      <c r="C27" s="56">
        <f>wyniki!I37</f>
        <v>450</v>
      </c>
      <c r="D27" s="18">
        <v>2.5999999999999998E-4</v>
      </c>
      <c r="E27" s="56">
        <f t="shared" si="0"/>
        <v>450.00026000000003</v>
      </c>
      <c r="F27" t="str">
        <f>wyniki!$A$35</f>
        <v>SP9 Siedlce</v>
      </c>
      <c r="J27" s="79" t="str">
        <f t="shared" si="1"/>
        <v>Bryczyński Maksymilian</v>
      </c>
      <c r="K27" s="69">
        <f>LARGE($E$2:$E$241,26)</f>
        <v>447.00049000000001</v>
      </c>
      <c r="L27" s="59">
        <f t="shared" si="2"/>
        <v>49</v>
      </c>
      <c r="M27" s="90" t="str">
        <f t="shared" si="3"/>
        <v>SP154 Warszawa</v>
      </c>
      <c r="N27" s="37">
        <v>26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2:31" ht="17.25" thickTop="1" thickBot="1">
      <c r="B28" t="str">
        <f>wyniki!B38</f>
        <v>Krasuski Jakub</v>
      </c>
      <c r="C28" s="56">
        <f>wyniki!I38</f>
        <v>383</v>
      </c>
      <c r="D28" s="18">
        <v>2.7E-4</v>
      </c>
      <c r="E28" s="56">
        <f t="shared" si="0"/>
        <v>383.00027</v>
      </c>
      <c r="F28" t="str">
        <f>wyniki!$A$35</f>
        <v>SP9 Siedlce</v>
      </c>
      <c r="J28" s="79" t="str">
        <f t="shared" si="1"/>
        <v>Kaczerski Kuba</v>
      </c>
      <c r="K28" s="69">
        <f>LARGE($E$2:$E$241,27)</f>
        <v>447.00031999999999</v>
      </c>
      <c r="L28" s="59">
        <f t="shared" si="2"/>
        <v>32</v>
      </c>
      <c r="M28" s="90" t="str">
        <f t="shared" si="3"/>
        <v>SP1 Ostrów Maz</v>
      </c>
      <c r="N28" s="37">
        <v>27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2:31" ht="17.25" thickTop="1" thickBot="1">
      <c r="B29" t="str">
        <f>wyniki!B39</f>
        <v>Sajewicz Piotr</v>
      </c>
      <c r="C29" s="56">
        <f>wyniki!I39</f>
        <v>421</v>
      </c>
      <c r="D29" s="18">
        <v>2.7999999999999998E-4</v>
      </c>
      <c r="E29" s="56">
        <f t="shared" si="0"/>
        <v>421.00027999999998</v>
      </c>
      <c r="F29" t="str">
        <f>wyniki!$A$35</f>
        <v>SP9 Siedlce</v>
      </c>
      <c r="J29" s="79" t="str">
        <f t="shared" si="1"/>
        <v>Kwiatkowski Julian</v>
      </c>
      <c r="K29" s="69">
        <f>LARGE($E$2:$E$241,28)</f>
        <v>447.00015000000002</v>
      </c>
      <c r="L29" s="59">
        <f t="shared" si="2"/>
        <v>15</v>
      </c>
      <c r="M29" s="90" t="str">
        <f t="shared" si="3"/>
        <v>SP4 Pruszków</v>
      </c>
      <c r="N29" s="37">
        <v>28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2:31" ht="17.25" thickTop="1" thickBot="1">
      <c r="B30" t="str">
        <f>wyniki!B40</f>
        <v>Sypiański Szymon</v>
      </c>
      <c r="C30" s="56">
        <f>wyniki!I40</f>
        <v>444</v>
      </c>
      <c r="D30" s="18">
        <v>2.9E-4</v>
      </c>
      <c r="E30" s="56">
        <f t="shared" si="0"/>
        <v>444.00029000000001</v>
      </c>
      <c r="F30" t="str">
        <f>wyniki!$A$35</f>
        <v>SP9 Siedlce</v>
      </c>
      <c r="J30" s="79" t="str">
        <f t="shared" si="1"/>
        <v>Komar Wojciech</v>
      </c>
      <c r="K30" s="69">
        <f>LARGE($E$2:$E$241,29)</f>
        <v>447.00008000000003</v>
      </c>
      <c r="L30" s="59">
        <f t="shared" si="2"/>
        <v>8</v>
      </c>
      <c r="M30" s="90" t="str">
        <f t="shared" si="3"/>
        <v>PSP24 Radom</v>
      </c>
      <c r="N30" s="37">
        <v>29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2:31" ht="17.25" thickTop="1" thickBot="1">
      <c r="B31" t="str">
        <f>wyniki!B41</f>
        <v>Terlikowski Ignacy</v>
      </c>
      <c r="C31" s="56">
        <f>wyniki!I41</f>
        <v>492</v>
      </c>
      <c r="D31" s="18">
        <v>2.9999999999999997E-4</v>
      </c>
      <c r="E31" s="56">
        <f t="shared" si="0"/>
        <v>492.00029999999998</v>
      </c>
      <c r="F31" t="str">
        <f>wyniki!$A$35</f>
        <v>SP9 Siedlce</v>
      </c>
      <c r="J31" s="79" t="str">
        <f t="shared" si="1"/>
        <v>Sienkiewicz Marcin</v>
      </c>
      <c r="K31" s="69">
        <f>LARGE($E$2:$E$241,30)</f>
        <v>445.00065000000001</v>
      </c>
      <c r="L31" s="59">
        <f t="shared" si="2"/>
        <v>65</v>
      </c>
      <c r="M31" s="90" t="str">
        <f t="shared" si="3"/>
        <v>SP2 Zielonka</v>
      </c>
      <c r="N31" s="37">
        <v>30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2:31" ht="17.25" thickTop="1" thickBot="1">
      <c r="B32" t="str">
        <f>wyniki!B43</f>
        <v>Baran Wiktor</v>
      </c>
      <c r="C32" s="56">
        <f>wyniki!I43</f>
        <v>436</v>
      </c>
      <c r="D32" s="18">
        <v>3.1E-4</v>
      </c>
      <c r="E32" s="56">
        <f t="shared" si="0"/>
        <v>436.00031000000001</v>
      </c>
      <c r="F32" t="str">
        <f>wyniki!$A$42</f>
        <v>SP1 Ostrów Maz</v>
      </c>
      <c r="J32" s="79" t="str">
        <f t="shared" si="1"/>
        <v>Sypiański Szymon</v>
      </c>
      <c r="K32" s="69">
        <f>LARGE($E$2:$E$241,31)</f>
        <v>444.00029000000001</v>
      </c>
      <c r="L32" s="59">
        <f t="shared" si="2"/>
        <v>29</v>
      </c>
      <c r="M32" s="90" t="str">
        <f t="shared" si="3"/>
        <v>SP9 Siedlce</v>
      </c>
      <c r="N32" s="37">
        <v>31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spans="2:31" ht="17.25" thickTop="1" thickBot="1">
      <c r="B33" t="str">
        <f>wyniki!B44</f>
        <v>Kaczerski Kuba</v>
      </c>
      <c r="C33" s="56">
        <f>wyniki!I44</f>
        <v>447</v>
      </c>
      <c r="D33" s="18">
        <v>3.2000000000000003E-4</v>
      </c>
      <c r="E33" s="56">
        <f t="shared" si="0"/>
        <v>447.00031999999999</v>
      </c>
      <c r="F33" t="str">
        <f>wyniki!$A$42</f>
        <v>SP1 Ostrów Maz</v>
      </c>
      <c r="J33" s="79" t="str">
        <f t="shared" si="1"/>
        <v>Zawadzki Szymon</v>
      </c>
      <c r="K33" s="69">
        <f>LARGE($E$2:$E$241,32)</f>
        <v>442.00040999999999</v>
      </c>
      <c r="L33" s="59">
        <f t="shared" si="2"/>
        <v>41</v>
      </c>
      <c r="M33" s="90" t="str">
        <f t="shared" si="3"/>
        <v>SP204 Warszawa</v>
      </c>
      <c r="N33" s="37">
        <v>32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2:31" ht="17.25" thickTop="1" thickBot="1">
      <c r="B34" t="str">
        <f>wyniki!B45</f>
        <v>Malec Alan</v>
      </c>
      <c r="C34" s="56">
        <f>wyniki!I45</f>
        <v>387</v>
      </c>
      <c r="D34" s="18">
        <v>3.3E-4</v>
      </c>
      <c r="E34" s="56">
        <f t="shared" si="0"/>
        <v>387.00033000000002</v>
      </c>
      <c r="F34" t="str">
        <f>wyniki!$A$42</f>
        <v>SP1 Ostrów Maz</v>
      </c>
      <c r="J34" s="79" t="str">
        <f t="shared" si="1"/>
        <v>Banaszczyk Dawid</v>
      </c>
      <c r="K34" s="69">
        <f>LARGE($E$2:$E$241,33)</f>
        <v>442.00018999999998</v>
      </c>
      <c r="L34" s="59">
        <f t="shared" si="2"/>
        <v>19</v>
      </c>
      <c r="M34" s="90" t="str">
        <f t="shared" si="3"/>
        <v>SP2 Szydłowiec</v>
      </c>
      <c r="N34" s="37">
        <v>33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2:31" ht="17.25" thickTop="1" thickBot="1">
      <c r="B35" t="str">
        <f>wyniki!B46</f>
        <v>Maliszewski Jan</v>
      </c>
      <c r="C35" s="56">
        <f>wyniki!I46</f>
        <v>439</v>
      </c>
      <c r="D35" s="18">
        <v>3.4000000000000002E-4</v>
      </c>
      <c r="E35" s="56">
        <f t="shared" si="0"/>
        <v>439.00033999999999</v>
      </c>
      <c r="F35" t="str">
        <f>wyniki!$A$42</f>
        <v>SP1 Ostrów Maz</v>
      </c>
      <c r="J35" s="79" t="str">
        <f t="shared" si="1"/>
        <v>May Franciszek</v>
      </c>
      <c r="K35" s="69">
        <f>LARGE($E$2:$E$241,34)</f>
        <v>441.00020999999998</v>
      </c>
      <c r="L35" s="59">
        <f t="shared" si="2"/>
        <v>21</v>
      </c>
      <c r="M35" s="90" t="str">
        <f t="shared" si="3"/>
        <v>SP2 Szydłowiec</v>
      </c>
      <c r="N35" s="37">
        <v>34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2:31" ht="17.25" thickTop="1" thickBot="1">
      <c r="B36" t="str">
        <f>wyniki!B47</f>
        <v>Maliszewski Michał</v>
      </c>
      <c r="C36" s="56">
        <f>wyniki!I47</f>
        <v>458</v>
      </c>
      <c r="D36" s="18">
        <v>3.5E-4</v>
      </c>
      <c r="E36" s="56">
        <f t="shared" si="0"/>
        <v>458.00035000000003</v>
      </c>
      <c r="F36" t="str">
        <f>wyniki!$A$42</f>
        <v>SP1 Ostrów Maz</v>
      </c>
      <c r="J36" s="79" t="str">
        <f t="shared" si="1"/>
        <v>Miron Artur</v>
      </c>
      <c r="K36" s="69">
        <f>LARGE($E$2:$E$241,35)</f>
        <v>441.00017000000003</v>
      </c>
      <c r="L36" s="59">
        <f t="shared" si="2"/>
        <v>17</v>
      </c>
      <c r="M36" s="90" t="str">
        <f t="shared" si="3"/>
        <v>SP4 Pruszków</v>
      </c>
      <c r="N36" s="37">
        <v>35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2:31" ht="17.25" thickTop="1" thickBot="1">
      <c r="B37" t="str">
        <f>wyniki!B48</f>
        <v>Równy Krystian</v>
      </c>
      <c r="C37" s="56">
        <f>wyniki!I48</f>
        <v>498</v>
      </c>
      <c r="D37" s="18">
        <v>3.6000000000000002E-4</v>
      </c>
      <c r="E37" s="56">
        <f t="shared" si="0"/>
        <v>498.00036</v>
      </c>
      <c r="F37" t="str">
        <f>wyniki!$A$42</f>
        <v>SP1 Ostrów Maz</v>
      </c>
      <c r="J37" s="79" t="str">
        <f t="shared" si="1"/>
        <v>Maliszewski Jan</v>
      </c>
      <c r="K37" s="69">
        <f>LARGE($E$2:$E$241,36)</f>
        <v>439.00033999999999</v>
      </c>
      <c r="L37" s="59">
        <f t="shared" si="2"/>
        <v>34</v>
      </c>
      <c r="M37" s="90" t="str">
        <f t="shared" si="3"/>
        <v>SP1 Ostrów Maz</v>
      </c>
      <c r="N37" s="37">
        <v>36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2:31" ht="17.25" thickTop="1" thickBot="1">
      <c r="B38" t="str">
        <f>wyniki!B50</f>
        <v>Karbowski Aleksander</v>
      </c>
      <c r="C38" s="56">
        <f>wyniki!I50</f>
        <v>466</v>
      </c>
      <c r="D38" s="18">
        <v>3.6999999999999999E-4</v>
      </c>
      <c r="E38" s="56">
        <f t="shared" si="0"/>
        <v>466.00036999999998</v>
      </c>
      <c r="F38" t="str">
        <f>wyniki!$A$49</f>
        <v>SP204 Warszawa</v>
      </c>
      <c r="J38" s="79" t="str">
        <f t="shared" si="1"/>
        <v>Bakuła Dawid</v>
      </c>
      <c r="K38" s="69">
        <f>LARGE($E$2:$E$241,37)</f>
        <v>438.00056000000001</v>
      </c>
      <c r="L38" s="59">
        <f t="shared" si="2"/>
        <v>56</v>
      </c>
      <c r="M38" s="90" t="str">
        <f t="shared" si="3"/>
        <v xml:space="preserve">SP Jednorożec </v>
      </c>
      <c r="N38" s="37">
        <v>37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2:31" ht="17.25" thickTop="1" thickBot="1">
      <c r="B39" t="str">
        <f>wyniki!B51</f>
        <v>Mirecki Mateusz</v>
      </c>
      <c r="C39" s="56">
        <f>wyniki!I51</f>
        <v>453</v>
      </c>
      <c r="D39" s="18">
        <v>3.8000000000000002E-4</v>
      </c>
      <c r="E39" s="56">
        <f t="shared" si="0"/>
        <v>453.00038000000001</v>
      </c>
      <c r="F39" t="str">
        <f>wyniki!$A$49</f>
        <v>SP204 Warszawa</v>
      </c>
      <c r="J39" s="79" t="str">
        <f t="shared" si="1"/>
        <v>Baran Wiktor</v>
      </c>
      <c r="K39" s="69">
        <f>LARGE($E$2:$E$241,38)</f>
        <v>436.00031000000001</v>
      </c>
      <c r="L39" s="59">
        <f t="shared" si="2"/>
        <v>31</v>
      </c>
      <c r="M39" s="90" t="str">
        <f t="shared" si="3"/>
        <v>SP1 Ostrów Maz</v>
      </c>
      <c r="N39" s="37">
        <v>38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2:31" ht="17.25" thickTop="1" thickBot="1">
      <c r="B40" t="str">
        <f>wyniki!B52</f>
        <v>Porębski Jakub</v>
      </c>
      <c r="C40" s="56">
        <f>wyniki!I52</f>
        <v>418</v>
      </c>
      <c r="D40" s="18">
        <v>3.8999999999999999E-4</v>
      </c>
      <c r="E40" s="56">
        <f t="shared" si="0"/>
        <v>418.00038999999998</v>
      </c>
      <c r="F40" t="str">
        <f>wyniki!$A$49</f>
        <v>SP204 Warszawa</v>
      </c>
      <c r="J40" s="79" t="str">
        <f t="shared" si="1"/>
        <v>Dyszkowski Mateusz</v>
      </c>
      <c r="K40" s="69">
        <f>LARGE($E$2:$E$241,39)</f>
        <v>435.00044000000003</v>
      </c>
      <c r="L40" s="59">
        <f t="shared" si="2"/>
        <v>44</v>
      </c>
      <c r="M40" s="90" t="str">
        <f t="shared" si="3"/>
        <v>SP Zielonki Parcela</v>
      </c>
      <c r="N40" s="37">
        <v>39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2:31" ht="17.25" thickTop="1" thickBot="1">
      <c r="B41" t="str">
        <f>wyniki!B53</f>
        <v>Tuczyński Aleksander</v>
      </c>
      <c r="C41" s="56">
        <f>wyniki!I53</f>
        <v>503</v>
      </c>
      <c r="D41" s="18">
        <v>4.0000000000000002E-4</v>
      </c>
      <c r="E41" s="56">
        <f t="shared" si="0"/>
        <v>503.00040000000001</v>
      </c>
      <c r="F41" t="str">
        <f>wyniki!$A$49</f>
        <v>SP204 Warszawa</v>
      </c>
      <c r="J41" s="79" t="str">
        <f t="shared" si="1"/>
        <v>Zaniemcha Nikodem</v>
      </c>
      <c r="K41" s="69">
        <f>LARGE($E$2:$E$241,40)</f>
        <v>432.00054</v>
      </c>
      <c r="L41" s="59">
        <f t="shared" si="2"/>
        <v>54</v>
      </c>
      <c r="M41" s="90" t="str">
        <f t="shared" si="3"/>
        <v>SP154 Warszawa</v>
      </c>
      <c r="N41" s="37">
        <v>40</v>
      </c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2:31" ht="17.25" thickTop="1" thickBot="1">
      <c r="B42" t="str">
        <f>wyniki!B54</f>
        <v>Zawadzki Szymon</v>
      </c>
      <c r="C42" s="56">
        <f>wyniki!I54</f>
        <v>442</v>
      </c>
      <c r="D42" s="18">
        <v>4.0999999999999999E-4</v>
      </c>
      <c r="E42" s="56">
        <f t="shared" si="0"/>
        <v>442.00040999999999</v>
      </c>
      <c r="F42" t="str">
        <f>wyniki!$A$49</f>
        <v>SP204 Warszawa</v>
      </c>
      <c r="J42" s="79" t="str">
        <f t="shared" si="1"/>
        <v>Kroguec Antoni</v>
      </c>
      <c r="K42" s="69">
        <f>LARGE($E$2:$E$241,41)</f>
        <v>432.00020000000001</v>
      </c>
      <c r="L42" s="59">
        <f t="shared" si="2"/>
        <v>20</v>
      </c>
      <c r="M42" s="90" t="str">
        <f t="shared" si="3"/>
        <v>SP2 Szydłowiec</v>
      </c>
      <c r="N42" s="37">
        <v>41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2:31" ht="17.25" thickTop="1" thickBot="1">
      <c r="B43" t="str">
        <f>wyniki!B55</f>
        <v>Zieniewicz Franciszek</v>
      </c>
      <c r="C43" s="56">
        <f>wyniki!I55</f>
        <v>404</v>
      </c>
      <c r="D43" s="18">
        <v>4.2000000000000002E-4</v>
      </c>
      <c r="E43" s="56">
        <f t="shared" si="0"/>
        <v>404.00042000000002</v>
      </c>
      <c r="F43" t="str">
        <f>wyniki!$A$49</f>
        <v>SP204 Warszawa</v>
      </c>
      <c r="J43" s="79" t="str">
        <f t="shared" si="1"/>
        <v>Jędrzejewski Kamil</v>
      </c>
      <c r="K43" s="69">
        <f>LARGE($E$2:$E$241,42)</f>
        <v>429.00069000000002</v>
      </c>
      <c r="L43" s="59">
        <f t="shared" si="2"/>
        <v>69</v>
      </c>
      <c r="M43" s="90" t="str">
        <f t="shared" si="3"/>
        <v>SP2 Mława</v>
      </c>
      <c r="N43" s="37">
        <v>42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2:31" ht="17.25" thickTop="1" thickBot="1">
      <c r="B44" t="str">
        <f>wyniki!B57</f>
        <v>Cisek Mikołaj</v>
      </c>
      <c r="C44" s="56">
        <f>wyniki!I57</f>
        <v>407</v>
      </c>
      <c r="D44" s="18">
        <v>4.2999999999999999E-4</v>
      </c>
      <c r="E44" s="56">
        <f t="shared" si="0"/>
        <v>407.00042999999999</v>
      </c>
      <c r="F44" t="str">
        <f>wyniki!$A$56</f>
        <v>SP Zielonki Parcela</v>
      </c>
      <c r="J44" s="79" t="str">
        <f t="shared" si="1"/>
        <v>Pękala Bartłomiej</v>
      </c>
      <c r="K44" s="69">
        <f>LARGE($E$2:$E$241,43)</f>
        <v>427.00058999999999</v>
      </c>
      <c r="L44" s="59">
        <f t="shared" si="2"/>
        <v>59</v>
      </c>
      <c r="M44" s="90" t="str">
        <f t="shared" si="3"/>
        <v xml:space="preserve">SP Jednorożec </v>
      </c>
      <c r="N44" s="37">
        <v>43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2:31" ht="17.25" thickTop="1" thickBot="1">
      <c r="B45" t="str">
        <f>wyniki!B58</f>
        <v>Dyszkowski Mateusz</v>
      </c>
      <c r="C45" s="56">
        <f>wyniki!I58</f>
        <v>435</v>
      </c>
      <c r="D45" s="18">
        <v>4.4000000000000002E-4</v>
      </c>
      <c r="E45" s="56">
        <f t="shared" si="0"/>
        <v>435.00044000000003</v>
      </c>
      <c r="F45" t="str">
        <f>wyniki!$A$56</f>
        <v>SP Zielonki Parcela</v>
      </c>
      <c r="J45" s="79" t="str">
        <f t="shared" si="1"/>
        <v>Nowak Aleksander</v>
      </c>
      <c r="K45" s="69">
        <f>LARGE($E$2:$E$241,44)</f>
        <v>427.00009999999997</v>
      </c>
      <c r="L45" s="59">
        <f t="shared" si="2"/>
        <v>10</v>
      </c>
      <c r="M45" s="90" t="str">
        <f t="shared" si="3"/>
        <v>PSP24 Radom</v>
      </c>
      <c r="N45" s="37">
        <v>44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2:31" ht="17.25" thickTop="1" thickBot="1">
      <c r="B46" t="str">
        <f>wyniki!B59</f>
        <v>Kowalski Tymoteusz</v>
      </c>
      <c r="C46" s="56">
        <f>wyniki!I59</f>
        <v>416</v>
      </c>
      <c r="D46" s="18">
        <v>4.4999999999999999E-4</v>
      </c>
      <c r="E46" s="56">
        <f t="shared" si="0"/>
        <v>416.00045</v>
      </c>
      <c r="F46" t="str">
        <f>wyniki!$A$56</f>
        <v>SP Zielonki Parcela</v>
      </c>
      <c r="J46" s="79" t="str">
        <f t="shared" si="1"/>
        <v>Cendrowski Kacper</v>
      </c>
      <c r="K46" s="69">
        <f>LARGE($E$2:$E$241,45)</f>
        <v>423.00067000000001</v>
      </c>
      <c r="L46" s="59">
        <f t="shared" si="2"/>
        <v>67</v>
      </c>
      <c r="M46" s="90" t="str">
        <f t="shared" si="3"/>
        <v>SP2 Mława</v>
      </c>
      <c r="N46" s="37">
        <v>45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2:31" ht="17.25" thickTop="1" thickBot="1">
      <c r="B47" t="str">
        <f>wyniki!B60</f>
        <v>Sołomski Oliwier</v>
      </c>
      <c r="C47" s="56">
        <f>wyniki!I60</f>
        <v>538</v>
      </c>
      <c r="D47" s="18">
        <v>4.6000000000000001E-4</v>
      </c>
      <c r="E47" s="56">
        <f t="shared" si="0"/>
        <v>538.00045999999998</v>
      </c>
      <c r="F47" t="str">
        <f>wyniki!$A$56</f>
        <v>SP Zielonki Parcela</v>
      </c>
      <c r="J47" s="79" t="str">
        <f t="shared" si="1"/>
        <v>Stepień Wojciech</v>
      </c>
      <c r="K47" s="69">
        <f>LARGE($E$2:$E$241,46)</f>
        <v>423.00047000000001</v>
      </c>
      <c r="L47" s="59">
        <f t="shared" si="2"/>
        <v>47</v>
      </c>
      <c r="M47" s="90" t="str">
        <f t="shared" si="3"/>
        <v>SP Zielonki Parcela</v>
      </c>
      <c r="N47" s="37">
        <v>46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2:31" ht="17.25" thickTop="1" thickBot="1">
      <c r="B48" t="str">
        <f>wyniki!B61</f>
        <v>Stepień Wojciech</v>
      </c>
      <c r="C48" s="56">
        <f>wyniki!I61</f>
        <v>423</v>
      </c>
      <c r="D48" s="18">
        <v>4.6999999999999999E-4</v>
      </c>
      <c r="E48" s="56">
        <f t="shared" si="0"/>
        <v>423.00047000000001</v>
      </c>
      <c r="F48" t="str">
        <f>wyniki!$A$56</f>
        <v>SP Zielonki Parcela</v>
      </c>
      <c r="J48" s="79" t="str">
        <f t="shared" si="1"/>
        <v>Dąbrowski Aleksander</v>
      </c>
      <c r="K48" s="69">
        <f>LARGE($E$2:$E$241,47)</f>
        <v>422.00013000000001</v>
      </c>
      <c r="L48" s="59">
        <f t="shared" si="2"/>
        <v>13</v>
      </c>
      <c r="M48" s="90" t="str">
        <f t="shared" si="3"/>
        <v>SP4 Pruszków</v>
      </c>
      <c r="N48" s="37">
        <v>47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2:31" ht="17.25" thickTop="1" thickBot="1">
      <c r="B49" t="str">
        <f>wyniki!B62</f>
        <v>Wójcicki Maciej</v>
      </c>
      <c r="C49" s="56">
        <f>wyniki!I62</f>
        <v>455</v>
      </c>
      <c r="D49" s="18">
        <v>4.8000000000000001E-4</v>
      </c>
      <c r="E49" s="56">
        <f t="shared" si="0"/>
        <v>455.00047999999998</v>
      </c>
      <c r="F49" t="str">
        <f>wyniki!$A$56</f>
        <v>SP Zielonki Parcela</v>
      </c>
      <c r="J49" s="79" t="str">
        <f t="shared" si="1"/>
        <v>Sajewicz Piotr</v>
      </c>
      <c r="K49" s="69">
        <f>LARGE($E$2:$E$241,48)</f>
        <v>421.00027999999998</v>
      </c>
      <c r="L49" s="59">
        <f t="shared" si="2"/>
        <v>28</v>
      </c>
      <c r="M49" s="90" t="str">
        <f t="shared" si="3"/>
        <v>SP9 Siedlce</v>
      </c>
      <c r="N49" s="37">
        <v>48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2:31" ht="17.25" thickTop="1" thickBot="1">
      <c r="B50" t="str">
        <f>wyniki!B64</f>
        <v>Bryczyński Maksymilian</v>
      </c>
      <c r="C50" s="56">
        <f>wyniki!I64</f>
        <v>447</v>
      </c>
      <c r="D50" s="18">
        <v>4.8999999999999998E-4</v>
      </c>
      <c r="E50" s="56">
        <f t="shared" si="0"/>
        <v>447.00049000000001</v>
      </c>
      <c r="F50" t="str">
        <f>wyniki!$A$63</f>
        <v>SP154 Warszawa</v>
      </c>
      <c r="J50" s="79" t="str">
        <f t="shared" si="1"/>
        <v>Bors Paweł</v>
      </c>
      <c r="K50" s="69">
        <f>LARGE($E$2:$E$241,49)</f>
        <v>420.00058000000001</v>
      </c>
      <c r="L50" s="59">
        <f t="shared" si="2"/>
        <v>58</v>
      </c>
      <c r="M50" s="90" t="str">
        <f t="shared" si="3"/>
        <v xml:space="preserve">SP Jednorożec </v>
      </c>
      <c r="N50" s="37">
        <v>49</v>
      </c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</row>
    <row r="51" spans="2:31" ht="17.25" thickTop="1" thickBot="1">
      <c r="B51" t="str">
        <f>wyniki!B65</f>
        <v>Dąbrowski Franciszek</v>
      </c>
      <c r="C51" s="56">
        <f>wyniki!I65</f>
        <v>414</v>
      </c>
      <c r="D51" s="18">
        <v>5.0000000000000001E-4</v>
      </c>
      <c r="E51" s="56">
        <f t="shared" si="0"/>
        <v>414.00049999999999</v>
      </c>
      <c r="F51" t="str">
        <f>wyniki!$A$63</f>
        <v>SP154 Warszawa</v>
      </c>
      <c r="J51" s="79" t="str">
        <f t="shared" si="1"/>
        <v>Ługowski Bartosz</v>
      </c>
      <c r="K51" s="69">
        <f>LARGE($E$2:$E$241,50)</f>
        <v>420.00002999999998</v>
      </c>
      <c r="L51" s="59">
        <f t="shared" si="2"/>
        <v>3</v>
      </c>
      <c r="M51" s="90" t="str">
        <f t="shared" si="3"/>
        <v>SP8 Siedlce</v>
      </c>
      <c r="N51" s="37">
        <v>50</v>
      </c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</row>
    <row r="52" spans="2:31" ht="17.25" thickTop="1" thickBot="1">
      <c r="B52" t="str">
        <f>wyniki!B66</f>
        <v>Kałęcki Bartosz</v>
      </c>
      <c r="C52" s="56">
        <f>wyniki!I66</f>
        <v>547</v>
      </c>
      <c r="D52" s="18">
        <v>5.1000000000000004E-4</v>
      </c>
      <c r="E52" s="56">
        <f t="shared" si="0"/>
        <v>547.00050999999996</v>
      </c>
      <c r="F52" t="str">
        <f>wyniki!$A$63</f>
        <v>SP154 Warszawa</v>
      </c>
      <c r="J52" s="79" t="str">
        <f t="shared" si="1"/>
        <v>Porębski Jakub</v>
      </c>
      <c r="K52" s="69">
        <f>LARGE($E$2:$E$241,51)</f>
        <v>418.00038999999998</v>
      </c>
      <c r="L52" s="59">
        <f t="shared" si="2"/>
        <v>39</v>
      </c>
      <c r="M52" s="90" t="str">
        <f t="shared" si="3"/>
        <v>SP204 Warszawa</v>
      </c>
      <c r="N52" s="37">
        <v>51</v>
      </c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2:31" ht="17.25" thickTop="1" thickBot="1">
      <c r="B53" t="str">
        <f>wyniki!B67</f>
        <v>Staszkiewicz Michał</v>
      </c>
      <c r="C53" s="56">
        <f>wyniki!I67</f>
        <v>477</v>
      </c>
      <c r="D53" s="18">
        <v>5.1999999999999995E-4</v>
      </c>
      <c r="E53" s="56">
        <f t="shared" si="0"/>
        <v>477.00051999999999</v>
      </c>
      <c r="F53" t="str">
        <f>wyniki!$A$63</f>
        <v>SP154 Warszawa</v>
      </c>
      <c r="J53" s="79" t="str">
        <f t="shared" si="1"/>
        <v>Redes Maciej</v>
      </c>
      <c r="K53" s="69">
        <f>LARGE($E$2:$E$241,52)</f>
        <v>417.00004000000001</v>
      </c>
      <c r="L53" s="59">
        <f t="shared" si="2"/>
        <v>4</v>
      </c>
      <c r="M53" s="90" t="str">
        <f t="shared" si="3"/>
        <v>SP8 Siedlce</v>
      </c>
      <c r="N53" s="37">
        <v>52</v>
      </c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pans="2:31" ht="17.25" thickTop="1" thickBot="1">
      <c r="B54" t="str">
        <f>wyniki!B68</f>
        <v>Tomiczak Jan</v>
      </c>
      <c r="C54" s="56">
        <f>wyniki!I68</f>
        <v>490</v>
      </c>
      <c r="D54" s="18">
        <v>5.2999999999999998E-4</v>
      </c>
      <c r="E54" s="56">
        <f t="shared" si="0"/>
        <v>490.00053000000003</v>
      </c>
      <c r="F54" t="str">
        <f>wyniki!$A$63</f>
        <v>SP154 Warszawa</v>
      </c>
      <c r="J54" s="79" t="str">
        <f t="shared" si="1"/>
        <v>Dąbrowski Mateusz</v>
      </c>
      <c r="K54" s="69">
        <f>LARGE($E$2:$E$241,53)</f>
        <v>417.00000999999997</v>
      </c>
      <c r="L54" s="59">
        <f t="shared" si="2"/>
        <v>1</v>
      </c>
      <c r="M54" s="90" t="str">
        <f t="shared" si="3"/>
        <v>SP8 Siedlce</v>
      </c>
      <c r="N54" s="37">
        <v>53</v>
      </c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2:31" ht="17.25" thickTop="1" thickBot="1">
      <c r="B55" t="str">
        <f>wyniki!B69</f>
        <v>Zaniemcha Nikodem</v>
      </c>
      <c r="C55" s="56">
        <f>wyniki!I69</f>
        <v>432</v>
      </c>
      <c r="D55" s="18">
        <v>5.4000000000000001E-4</v>
      </c>
      <c r="E55" s="56">
        <f t="shared" si="0"/>
        <v>432.00054</v>
      </c>
      <c r="F55" t="str">
        <f>wyniki!$A$63</f>
        <v>SP154 Warszawa</v>
      </c>
      <c r="J55" s="79" t="str">
        <f t="shared" si="1"/>
        <v>Kowalski Tymoteusz</v>
      </c>
      <c r="K55" s="69">
        <f>LARGE($E$2:$E$241,54)</f>
        <v>416.00045</v>
      </c>
      <c r="L55" s="59">
        <f t="shared" si="2"/>
        <v>45</v>
      </c>
      <c r="M55" s="90" t="str">
        <f t="shared" si="3"/>
        <v>SP Zielonki Parcela</v>
      </c>
      <c r="N55" s="37">
        <v>54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2:31" ht="17.25" thickTop="1" thickBot="1">
      <c r="B56" t="str">
        <f>wyniki!B71</f>
        <v>Antosiak Maciej</v>
      </c>
      <c r="C56" s="56">
        <f>wyniki!I71</f>
        <v>447</v>
      </c>
      <c r="D56" s="18">
        <v>5.5000000000000003E-4</v>
      </c>
      <c r="E56" s="56">
        <f t="shared" si="0"/>
        <v>447.00054999999998</v>
      </c>
      <c r="F56" t="str">
        <f>wyniki!$A$70</f>
        <v xml:space="preserve">SP Jednorożec </v>
      </c>
      <c r="J56" s="79" t="str">
        <f t="shared" si="1"/>
        <v>Bonalski Maciej</v>
      </c>
      <c r="K56" s="69">
        <f>LARGE($E$2:$E$241,55)</f>
        <v>415.00056999999998</v>
      </c>
      <c r="L56" s="59">
        <f t="shared" si="2"/>
        <v>57</v>
      </c>
      <c r="M56" s="90" t="str">
        <f t="shared" si="3"/>
        <v xml:space="preserve">SP Jednorożec </v>
      </c>
      <c r="N56" s="37">
        <v>55</v>
      </c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spans="2:31" ht="17.25" thickTop="1" thickBot="1">
      <c r="B57" t="str">
        <f>wyniki!B72</f>
        <v>Bakuła Dawid</v>
      </c>
      <c r="C57" s="56">
        <f>wyniki!I72</f>
        <v>438</v>
      </c>
      <c r="D57" s="18">
        <v>5.5999999999999995E-4</v>
      </c>
      <c r="E57" s="56">
        <f t="shared" si="0"/>
        <v>438.00056000000001</v>
      </c>
      <c r="F57" t="str">
        <f>wyniki!$A$70</f>
        <v xml:space="preserve">SP Jednorożec </v>
      </c>
      <c r="J57" s="79" t="str">
        <f t="shared" si="1"/>
        <v>Dąbrowski Franciszek</v>
      </c>
      <c r="K57" s="69">
        <f>LARGE($E$2:$E$241,56)</f>
        <v>414.00049999999999</v>
      </c>
      <c r="L57" s="59">
        <f t="shared" si="2"/>
        <v>50</v>
      </c>
      <c r="M57" s="90" t="str">
        <f t="shared" si="3"/>
        <v>SP154 Warszawa</v>
      </c>
      <c r="N57" s="37">
        <v>56</v>
      </c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2:31" ht="17.25" thickTop="1" thickBot="1">
      <c r="B58" t="str">
        <f>wyniki!B73</f>
        <v>Bonalski Maciej</v>
      </c>
      <c r="C58" s="56">
        <f>wyniki!I73</f>
        <v>415</v>
      </c>
      <c r="D58" s="18">
        <v>5.6999999999999998E-4</v>
      </c>
      <c r="E58" s="56">
        <f t="shared" si="0"/>
        <v>415.00056999999998</v>
      </c>
      <c r="F58" t="str">
        <f>wyniki!$A$70</f>
        <v xml:space="preserve">SP Jednorożec </v>
      </c>
      <c r="J58" s="79" t="str">
        <f t="shared" si="1"/>
        <v>Pawlak Kacper</v>
      </c>
      <c r="K58" s="69">
        <f>LARGE($E$2:$E$241,57)</f>
        <v>414.00022000000001</v>
      </c>
      <c r="L58" s="59">
        <f t="shared" si="2"/>
        <v>22</v>
      </c>
      <c r="M58" s="90" t="str">
        <f t="shared" si="3"/>
        <v>SP2 Szydłowiec</v>
      </c>
      <c r="N58" s="37">
        <v>57</v>
      </c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  <row r="59" spans="2:31" ht="17.25" thickTop="1" thickBot="1">
      <c r="B59" t="str">
        <f>wyniki!B74</f>
        <v>Bors Paweł</v>
      </c>
      <c r="C59" s="56">
        <f>wyniki!I74</f>
        <v>420</v>
      </c>
      <c r="D59" s="18">
        <v>5.8E-4</v>
      </c>
      <c r="E59" s="56">
        <f t="shared" si="0"/>
        <v>420.00058000000001</v>
      </c>
      <c r="F59" t="str">
        <f>wyniki!$A$70</f>
        <v xml:space="preserve">SP Jednorożec </v>
      </c>
      <c r="J59" s="79" t="str">
        <f t="shared" si="1"/>
        <v>Dąbrowski Bartosz</v>
      </c>
      <c r="K59" s="69">
        <f>LARGE($E$2:$E$241,58)</f>
        <v>413.00024999999999</v>
      </c>
      <c r="L59" s="59">
        <f t="shared" si="2"/>
        <v>25</v>
      </c>
      <c r="M59" s="90" t="str">
        <f t="shared" si="3"/>
        <v>SP9 Siedlce</v>
      </c>
      <c r="N59" s="37">
        <v>58</v>
      </c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2:31" ht="17.25" thickTop="1" thickBot="1">
      <c r="B60" t="str">
        <f>wyniki!B75</f>
        <v>Pękala Bartłomiej</v>
      </c>
      <c r="C60" s="56">
        <f>wyniki!I75</f>
        <v>427</v>
      </c>
      <c r="D60" s="18">
        <v>5.9000000000000003E-4</v>
      </c>
      <c r="E60" s="56">
        <f t="shared" si="0"/>
        <v>427.00058999999999</v>
      </c>
      <c r="F60" t="str">
        <f>wyniki!$A$70</f>
        <v xml:space="preserve">SP Jednorożec </v>
      </c>
      <c r="J60" s="79" t="str">
        <f t="shared" si="1"/>
        <v>Zwierzchowski Krystian</v>
      </c>
      <c r="K60" s="69">
        <f>LARGE($E$2:$E$241,59)</f>
        <v>412.00065999999998</v>
      </c>
      <c r="L60" s="59">
        <f t="shared" si="2"/>
        <v>66</v>
      </c>
      <c r="M60" s="90" t="str">
        <f t="shared" si="3"/>
        <v>SP2 Zielonka</v>
      </c>
      <c r="N60" s="37">
        <v>59</v>
      </c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2:31" ht="17.25" thickTop="1" thickBot="1">
      <c r="B61" t="str">
        <f>wyniki!B76</f>
        <v>Urbaniak Igor</v>
      </c>
      <c r="C61" s="56">
        <f>wyniki!I76</f>
        <v>396</v>
      </c>
      <c r="D61" s="18">
        <v>5.9999999999999995E-4</v>
      </c>
      <c r="E61" s="56">
        <f t="shared" si="0"/>
        <v>396.00060000000002</v>
      </c>
      <c r="F61" t="str">
        <f>wyniki!$A$70</f>
        <v xml:space="preserve">SP Jednorożec </v>
      </c>
      <c r="J61" s="79" t="str">
        <f t="shared" si="1"/>
        <v>Kochański Adrian</v>
      </c>
      <c r="K61" s="69">
        <f>LARGE($E$2:$E$241,60)</f>
        <v>411.00063999999998</v>
      </c>
      <c r="L61" s="59">
        <f t="shared" si="2"/>
        <v>64</v>
      </c>
      <c r="M61" s="90" t="str">
        <f t="shared" si="3"/>
        <v>SP2 Zielonka</v>
      </c>
      <c r="N61" s="37">
        <v>60</v>
      </c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</row>
    <row r="62" spans="2:31" ht="17.25" thickTop="1" thickBot="1">
      <c r="B62" t="str">
        <f>wyniki!B78</f>
        <v>Balcer Antoni</v>
      </c>
      <c r="C62" s="56">
        <f>wyniki!I78</f>
        <v>502</v>
      </c>
      <c r="D62" s="18">
        <v>6.0999999999999997E-4</v>
      </c>
      <c r="E62" s="56">
        <f t="shared" si="0"/>
        <v>502.00060999999999</v>
      </c>
      <c r="F62" t="str">
        <f>wyniki!$A$77</f>
        <v>SP2 Zielonka</v>
      </c>
      <c r="J62" s="79" t="str">
        <f t="shared" si="1"/>
        <v>Cisek Mikołaj</v>
      </c>
      <c r="K62" s="69">
        <f>LARGE($E$2:$E$241,61)</f>
        <v>407.00042999999999</v>
      </c>
      <c r="L62" s="59">
        <f t="shared" si="2"/>
        <v>43</v>
      </c>
      <c r="M62" s="90" t="str">
        <f t="shared" si="3"/>
        <v>SP Zielonki Parcela</v>
      </c>
      <c r="N62" s="37">
        <v>61</v>
      </c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2:31" ht="17.25" thickTop="1" thickBot="1">
      <c r="B63" t="str">
        <f>wyniki!B79</f>
        <v>Kobielski Mateusz</v>
      </c>
      <c r="C63" s="56">
        <f>wyniki!I79</f>
        <v>462</v>
      </c>
      <c r="D63" s="18">
        <v>6.2E-4</v>
      </c>
      <c r="E63" s="56">
        <f t="shared" si="0"/>
        <v>462.00062000000003</v>
      </c>
      <c r="F63" t="str">
        <f>wyniki!$A$77</f>
        <v>SP2 Zielonka</v>
      </c>
      <c r="J63" s="79" t="str">
        <f t="shared" si="1"/>
        <v>Zieniewicz Franciszek</v>
      </c>
      <c r="K63" s="69">
        <f>LARGE($E$2:$E$241,62)</f>
        <v>404.00042000000002</v>
      </c>
      <c r="L63" s="59">
        <f t="shared" si="2"/>
        <v>42</v>
      </c>
      <c r="M63" s="90" t="str">
        <f t="shared" si="3"/>
        <v>SP204 Warszawa</v>
      </c>
      <c r="N63" s="37">
        <v>62</v>
      </c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</row>
    <row r="64" spans="2:31" ht="17.25" thickTop="1" thickBot="1">
      <c r="B64" t="str">
        <f>wyniki!B80</f>
        <v>Ducki Michał</v>
      </c>
      <c r="C64" s="56">
        <f>wyniki!I80</f>
        <v>369</v>
      </c>
      <c r="D64" s="18">
        <v>6.3000000000000003E-4</v>
      </c>
      <c r="E64" s="56">
        <f t="shared" si="0"/>
        <v>369.00063</v>
      </c>
      <c r="F64" t="str">
        <f>wyniki!$A$77</f>
        <v>SP2 Zielonka</v>
      </c>
      <c r="J64" s="79" t="str">
        <f t="shared" si="1"/>
        <v>Lewandowski Bartosz</v>
      </c>
      <c r="K64" s="69">
        <f>LARGE($E$2:$E$241,63)</f>
        <v>401.00074999999998</v>
      </c>
      <c r="L64" s="59">
        <f t="shared" si="2"/>
        <v>75</v>
      </c>
      <c r="M64" s="90" t="str">
        <f t="shared" si="3"/>
        <v>SP18 Płock</v>
      </c>
      <c r="N64" s="37">
        <v>63</v>
      </c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</row>
    <row r="65" spans="2:31" ht="17.25" thickTop="1" thickBot="1">
      <c r="B65" t="str">
        <f>wyniki!B81</f>
        <v>Kochański Adrian</v>
      </c>
      <c r="C65" s="56">
        <f>wyniki!I81</f>
        <v>411</v>
      </c>
      <c r="D65" s="18">
        <v>6.4000000000000005E-4</v>
      </c>
      <c r="E65" s="56">
        <f t="shared" si="0"/>
        <v>411.00063999999998</v>
      </c>
      <c r="F65" t="str">
        <f>wyniki!$A$77</f>
        <v>SP2 Zielonka</v>
      </c>
      <c r="J65" s="79" t="str">
        <f t="shared" si="1"/>
        <v>Walasik Kacper</v>
      </c>
      <c r="K65" s="69">
        <f>LARGE($E$2:$E$241,64)</f>
        <v>401.00024000000002</v>
      </c>
      <c r="L65" s="59">
        <f t="shared" si="2"/>
        <v>24</v>
      </c>
      <c r="M65" s="90" t="str">
        <f t="shared" si="3"/>
        <v>SP2 Szydłowiec</v>
      </c>
      <c r="N65" s="37">
        <v>64</v>
      </c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</row>
    <row r="66" spans="2:31" ht="17.25" thickTop="1" thickBot="1">
      <c r="B66" t="str">
        <f>wyniki!B82</f>
        <v>Sienkiewicz Marcin</v>
      </c>
      <c r="C66" s="56">
        <f>wyniki!I82</f>
        <v>445</v>
      </c>
      <c r="D66" s="18">
        <v>6.4999999999999997E-4</v>
      </c>
      <c r="E66" s="56">
        <f t="shared" si="0"/>
        <v>445.00065000000001</v>
      </c>
      <c r="F66" t="str">
        <f>wyniki!$A$77</f>
        <v>SP2 Zielonka</v>
      </c>
      <c r="J66" s="79" t="str">
        <f t="shared" si="1"/>
        <v>Trzos Szymon</v>
      </c>
      <c r="K66" s="69">
        <f>LARGE($E$2:$E$241,65)</f>
        <v>401.00011000000001</v>
      </c>
      <c r="L66" s="59">
        <f t="shared" si="2"/>
        <v>11</v>
      </c>
      <c r="M66" s="90" t="str">
        <f t="shared" si="3"/>
        <v>PSP24 Radom</v>
      </c>
      <c r="N66" s="37">
        <v>65</v>
      </c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2:31" ht="17.25" thickTop="1" thickBot="1">
      <c r="B67" t="str">
        <f>wyniki!B83</f>
        <v>Zwierzchowski Krystian</v>
      </c>
      <c r="C67" s="56">
        <f>wyniki!I83</f>
        <v>412</v>
      </c>
      <c r="D67" s="18">
        <v>6.6E-4</v>
      </c>
      <c r="E67" s="56">
        <f t="shared" ref="E67:E130" si="4">C67+D67</f>
        <v>412.00065999999998</v>
      </c>
      <c r="F67" t="str">
        <f>wyniki!$A$77</f>
        <v>SP2 Zielonka</v>
      </c>
      <c r="J67" s="79" t="str">
        <f t="shared" ref="J67:J130" si="5">INDEX($B$2:$E$241,L67,1)</f>
        <v>Olichwiruk Piotr</v>
      </c>
      <c r="K67" s="69">
        <f>LARGE($E$2:$E$241,66)</f>
        <v>400.00076999999999</v>
      </c>
      <c r="L67" s="59">
        <f t="shared" ref="L67:L130" si="6">MATCH(K67,$E$2:$E$241,0)</f>
        <v>77</v>
      </c>
      <c r="M67" s="90" t="str">
        <f t="shared" ref="M67:M130" si="7">INDEX($E$2:$F$241,L67,2)</f>
        <v>SP18 Płock</v>
      </c>
      <c r="N67" s="37">
        <v>66</v>
      </c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</row>
    <row r="68" spans="2:31" ht="17.25" thickTop="1" thickBot="1">
      <c r="B68" t="str">
        <f>wyniki!B85</f>
        <v>Cendrowski Kacper</v>
      </c>
      <c r="C68" s="56">
        <f>wyniki!I85</f>
        <v>423</v>
      </c>
      <c r="D68" s="18">
        <v>6.7000000000000002E-4</v>
      </c>
      <c r="E68" s="56">
        <f t="shared" si="4"/>
        <v>423.00067000000001</v>
      </c>
      <c r="F68" t="str">
        <f>wyniki!$A$84</f>
        <v>SP2 Mława</v>
      </c>
      <c r="J68" s="79" t="str">
        <f t="shared" si="5"/>
        <v>Urbaniak Igor</v>
      </c>
      <c r="K68" s="69">
        <f>LARGE($E$2:$E$241,67)</f>
        <v>396.00060000000002</v>
      </c>
      <c r="L68" s="59">
        <f t="shared" si="6"/>
        <v>60</v>
      </c>
      <c r="M68" s="90" t="str">
        <f t="shared" si="7"/>
        <v xml:space="preserve">SP Jednorożec </v>
      </c>
      <c r="N68" s="37">
        <v>67</v>
      </c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spans="2:31" ht="17.25" thickTop="1" thickBot="1">
      <c r="B69" t="str">
        <f>wyniki!B86</f>
        <v>Domżalski Szymon</v>
      </c>
      <c r="C69" s="56">
        <f>wyniki!I86</f>
        <v>483</v>
      </c>
      <c r="D69" s="18">
        <v>6.8000000000000005E-4</v>
      </c>
      <c r="E69" s="56">
        <f t="shared" si="4"/>
        <v>483.00067999999999</v>
      </c>
      <c r="F69" t="str">
        <f>wyniki!$A$84</f>
        <v>SP2 Mława</v>
      </c>
      <c r="J69" s="79" t="str">
        <f t="shared" si="5"/>
        <v>Starzak Brajan</v>
      </c>
      <c r="K69" s="69">
        <f>LARGE($E$2:$E$241,68)</f>
        <v>390.00069999999999</v>
      </c>
      <c r="L69" s="59">
        <f t="shared" si="6"/>
        <v>70</v>
      </c>
      <c r="M69" s="90" t="str">
        <f t="shared" si="7"/>
        <v>SP2 Mława</v>
      </c>
      <c r="N69" s="37">
        <v>68</v>
      </c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</row>
    <row r="70" spans="2:31" ht="17.25" thickTop="1" thickBot="1">
      <c r="B70" t="str">
        <f>wyniki!B87</f>
        <v>Jędrzejewski Kamil</v>
      </c>
      <c r="C70" s="56">
        <f>wyniki!I87</f>
        <v>429</v>
      </c>
      <c r="D70" s="18">
        <v>6.8999999999999997E-4</v>
      </c>
      <c r="E70" s="56">
        <f t="shared" si="4"/>
        <v>429.00069000000002</v>
      </c>
      <c r="F70" t="str">
        <f>wyniki!$A$84</f>
        <v>SP2 Mława</v>
      </c>
      <c r="J70" s="79" t="str">
        <f t="shared" si="5"/>
        <v>Nitychoruk Maciej</v>
      </c>
      <c r="K70" s="69">
        <f>LARGE($E$2:$E$241,69)</f>
        <v>388.00006000000002</v>
      </c>
      <c r="L70" s="59">
        <f t="shared" si="6"/>
        <v>6</v>
      </c>
      <c r="M70" s="90" t="str">
        <f t="shared" si="7"/>
        <v>SP8 Siedlce</v>
      </c>
      <c r="N70" s="37">
        <v>69</v>
      </c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</row>
    <row r="71" spans="2:31" ht="17.25" thickTop="1" thickBot="1">
      <c r="B71" t="str">
        <f>wyniki!B88</f>
        <v>Starzak Brajan</v>
      </c>
      <c r="C71" s="56">
        <f>wyniki!I88</f>
        <v>390</v>
      </c>
      <c r="D71" s="18">
        <v>6.9999999999999999E-4</v>
      </c>
      <c r="E71" s="56">
        <f t="shared" si="4"/>
        <v>390.00069999999999</v>
      </c>
      <c r="F71" t="str">
        <f>wyniki!$A$84</f>
        <v>SP2 Mława</v>
      </c>
      <c r="J71" s="79" t="str">
        <f t="shared" si="5"/>
        <v>Malec Alan</v>
      </c>
      <c r="K71" s="69">
        <f>LARGE($E$2:$E$241,70)</f>
        <v>387.00033000000002</v>
      </c>
      <c r="L71" s="59">
        <f t="shared" si="6"/>
        <v>33</v>
      </c>
      <c r="M71" s="90" t="str">
        <f t="shared" si="7"/>
        <v>SP1 Ostrów Maz</v>
      </c>
      <c r="N71" s="37">
        <v>70</v>
      </c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  <row r="72" spans="2:31" ht="17.25" thickTop="1" thickBot="1">
      <c r="B72" t="str">
        <f>wyniki!B89</f>
        <v>Czaplicki Karol</v>
      </c>
      <c r="C72" s="56">
        <f>wyniki!I89</f>
        <v>381</v>
      </c>
      <c r="D72" s="18">
        <v>7.1000000000000002E-4</v>
      </c>
      <c r="E72" s="56">
        <f t="shared" si="4"/>
        <v>381.00071000000003</v>
      </c>
      <c r="F72" t="str">
        <f>wyniki!$A$84</f>
        <v>SP2 Mława</v>
      </c>
      <c r="J72" s="79" t="str">
        <f t="shared" si="5"/>
        <v>Krasuski Jakub</v>
      </c>
      <c r="K72" s="69">
        <f>LARGE($E$2:$E$241,71)</f>
        <v>383.00027</v>
      </c>
      <c r="L72" s="59">
        <f t="shared" si="6"/>
        <v>27</v>
      </c>
      <c r="M72" s="90" t="str">
        <f t="shared" si="7"/>
        <v>SP9 Siedlce</v>
      </c>
      <c r="N72" s="37">
        <v>71</v>
      </c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</row>
    <row r="73" spans="2:31" ht="17.25" thickTop="1" thickBot="1">
      <c r="B73">
        <f>wyniki!B90</f>
        <v>0</v>
      </c>
      <c r="C73" s="56">
        <f>wyniki!I90</f>
        <v>0</v>
      </c>
      <c r="D73" s="18">
        <v>7.2000000000000005E-4</v>
      </c>
      <c r="E73" s="56">
        <f t="shared" si="4"/>
        <v>7.2000000000000005E-4</v>
      </c>
      <c r="F73" t="str">
        <f>wyniki!$A$84</f>
        <v>SP2 Mława</v>
      </c>
      <c r="J73" s="79" t="str">
        <f t="shared" si="5"/>
        <v>Płachecki Sebastian</v>
      </c>
      <c r="K73" s="69">
        <f>LARGE($E$2:$E$241,72)</f>
        <v>382.00078000000002</v>
      </c>
      <c r="L73" s="59">
        <f t="shared" si="6"/>
        <v>78</v>
      </c>
      <c r="M73" s="90" t="str">
        <f t="shared" si="7"/>
        <v>SP18 Płock</v>
      </c>
      <c r="N73" s="37">
        <v>72</v>
      </c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</row>
    <row r="74" spans="2:31" ht="17.25" thickTop="1" thickBot="1">
      <c r="B74" t="str">
        <f>wyniki!B92</f>
        <v>Kołodziej Adam</v>
      </c>
      <c r="C74" s="56">
        <f>wyniki!I92</f>
        <v>456</v>
      </c>
      <c r="D74" s="18">
        <v>7.2999999999999996E-4</v>
      </c>
      <c r="E74" s="56">
        <f t="shared" si="4"/>
        <v>456.00072999999998</v>
      </c>
      <c r="F74" t="str">
        <f>wyniki!$A$91</f>
        <v>SP18 Płock</v>
      </c>
      <c r="J74" s="79" t="str">
        <f t="shared" si="5"/>
        <v>Markwat Natan</v>
      </c>
      <c r="K74" s="69">
        <f>LARGE($E$2:$E$241,73)</f>
        <v>382.00009</v>
      </c>
      <c r="L74" s="59">
        <f t="shared" si="6"/>
        <v>9</v>
      </c>
      <c r="M74" s="90" t="str">
        <f t="shared" si="7"/>
        <v>PSP24 Radom</v>
      </c>
      <c r="N74" s="37">
        <v>73</v>
      </c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</row>
    <row r="75" spans="2:31" ht="17.25" thickTop="1" thickBot="1">
      <c r="B75" t="str">
        <f>wyniki!B93</f>
        <v>Leszczyński Kacper</v>
      </c>
      <c r="C75" s="56">
        <f>wyniki!I93</f>
        <v>472</v>
      </c>
      <c r="D75" s="18">
        <v>7.3999999999999999E-4</v>
      </c>
      <c r="E75" s="56">
        <f t="shared" si="4"/>
        <v>472.00074000000001</v>
      </c>
      <c r="F75" t="str">
        <f>wyniki!$A$91</f>
        <v>SP18 Płock</v>
      </c>
      <c r="J75" s="79" t="str">
        <f t="shared" si="5"/>
        <v>Czaplicki Karol</v>
      </c>
      <c r="K75" s="69">
        <f>LARGE($E$2:$E$241,74)</f>
        <v>381.00071000000003</v>
      </c>
      <c r="L75" s="59">
        <f t="shared" si="6"/>
        <v>71</v>
      </c>
      <c r="M75" s="90" t="str">
        <f t="shared" si="7"/>
        <v>SP2 Mława</v>
      </c>
      <c r="N75" s="37">
        <v>74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</row>
    <row r="76" spans="2:31" ht="17.25" thickTop="1" thickBot="1">
      <c r="B76" t="str">
        <f>wyniki!B94</f>
        <v>Lewandowski Bartosz</v>
      </c>
      <c r="C76" s="56">
        <f>wyniki!I94</f>
        <v>401</v>
      </c>
      <c r="D76" s="18">
        <v>7.5000000000000002E-4</v>
      </c>
      <c r="E76" s="56">
        <f t="shared" si="4"/>
        <v>401.00074999999998</v>
      </c>
      <c r="F76" t="str">
        <f>wyniki!$A$91</f>
        <v>SP18 Płock</v>
      </c>
      <c r="J76" s="79" t="str">
        <f t="shared" si="5"/>
        <v>Ducki Michał</v>
      </c>
      <c r="K76" s="69">
        <f>LARGE($E$2:$E$241,75)</f>
        <v>369.00063</v>
      </c>
      <c r="L76" s="59">
        <f t="shared" si="6"/>
        <v>63</v>
      </c>
      <c r="M76" s="90" t="str">
        <f t="shared" si="7"/>
        <v>SP2 Zielonka</v>
      </c>
      <c r="N76" s="37">
        <v>75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</row>
    <row r="77" spans="2:31" ht="17.25" thickTop="1" thickBot="1">
      <c r="B77" t="str">
        <f>wyniki!B95</f>
        <v>Michalski Piotr</v>
      </c>
      <c r="C77" s="56">
        <f>wyniki!I95</f>
        <v>467</v>
      </c>
      <c r="D77" s="18">
        <v>7.6000000000000004E-4</v>
      </c>
      <c r="E77" s="56">
        <f t="shared" si="4"/>
        <v>467.00076000000001</v>
      </c>
      <c r="F77" t="str">
        <f>wyniki!$A$91</f>
        <v>SP18 Płock</v>
      </c>
      <c r="J77" s="79" t="str">
        <f t="shared" si="5"/>
        <v>Kołacz Nikodem</v>
      </c>
      <c r="K77" s="69">
        <f>LARGE($E$2:$E$241,76)</f>
        <v>361.00006999999999</v>
      </c>
      <c r="L77" s="59">
        <f t="shared" si="6"/>
        <v>7</v>
      </c>
      <c r="M77" s="90" t="str">
        <f t="shared" si="7"/>
        <v>PSP24 Radom</v>
      </c>
      <c r="N77" s="37">
        <v>76</v>
      </c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</row>
    <row r="78" spans="2:31" ht="17.25" thickTop="1" thickBot="1">
      <c r="B78" t="str">
        <f>wyniki!B96</f>
        <v>Olichwiruk Piotr</v>
      </c>
      <c r="C78" s="56">
        <f>wyniki!I96</f>
        <v>400</v>
      </c>
      <c r="D78" s="18">
        <v>7.6999999999999996E-4</v>
      </c>
      <c r="E78" s="56">
        <f t="shared" si="4"/>
        <v>400.00076999999999</v>
      </c>
      <c r="F78" t="str">
        <f>wyniki!$A$91</f>
        <v>SP18 Płock</v>
      </c>
      <c r="J78" s="79">
        <f t="shared" si="5"/>
        <v>0</v>
      </c>
      <c r="K78" s="69">
        <f>LARGE($E$2:$E$241,77)</f>
        <v>2.3999999999999998E-3</v>
      </c>
      <c r="L78" s="59">
        <f t="shared" si="6"/>
        <v>240</v>
      </c>
      <c r="M78" s="90">
        <f t="shared" si="7"/>
        <v>0</v>
      </c>
      <c r="N78" s="37">
        <v>77</v>
      </c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</row>
    <row r="79" spans="2:31" ht="17.25" thickTop="1" thickBot="1">
      <c r="B79" t="str">
        <f>wyniki!B97</f>
        <v>Płachecki Sebastian</v>
      </c>
      <c r="C79" s="56">
        <f>wyniki!I97</f>
        <v>382</v>
      </c>
      <c r="D79" s="18">
        <v>7.7999999999999999E-4</v>
      </c>
      <c r="E79" s="56">
        <f t="shared" si="4"/>
        <v>382.00078000000002</v>
      </c>
      <c r="F79" t="str">
        <f>wyniki!$A$91</f>
        <v>SP18 Płock</v>
      </c>
      <c r="J79" s="79">
        <f t="shared" si="5"/>
        <v>0</v>
      </c>
      <c r="K79" s="69">
        <f>LARGE($E$2:$E$241,78)</f>
        <v>2.3900000000000002E-3</v>
      </c>
      <c r="L79" s="59">
        <f t="shared" si="6"/>
        <v>239</v>
      </c>
      <c r="M79" s="90">
        <f t="shared" si="7"/>
        <v>0</v>
      </c>
      <c r="N79" s="37">
        <v>78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</row>
    <row r="80" spans="2:31" ht="17.25" thickTop="1" thickBot="1">
      <c r="B80">
        <f>wyniki!B99</f>
        <v>0</v>
      </c>
      <c r="C80" s="56">
        <f>wyniki!I99</f>
        <v>0</v>
      </c>
      <c r="D80" s="18">
        <v>7.9000000000000001E-4</v>
      </c>
      <c r="E80" s="56">
        <f t="shared" si="4"/>
        <v>7.9000000000000001E-4</v>
      </c>
      <c r="F80">
        <f>wyniki!$A$98</f>
        <v>0</v>
      </c>
      <c r="J80" s="79">
        <f t="shared" si="5"/>
        <v>0</v>
      </c>
      <c r="K80" s="69">
        <f>LARGE($E$2:$E$241,79)</f>
        <v>2.3800000000000002E-3</v>
      </c>
      <c r="L80" s="59">
        <f t="shared" si="6"/>
        <v>238</v>
      </c>
      <c r="M80" s="90">
        <f t="shared" si="7"/>
        <v>0</v>
      </c>
      <c r="N80" s="37">
        <v>79</v>
      </c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</row>
    <row r="81" spans="2:31" ht="17.25" thickTop="1" thickBot="1">
      <c r="B81">
        <f>wyniki!B100</f>
        <v>0</v>
      </c>
      <c r="C81" s="56">
        <f>wyniki!I100</f>
        <v>0</v>
      </c>
      <c r="D81" s="18">
        <v>8.0000000000000004E-4</v>
      </c>
      <c r="E81" s="56">
        <f t="shared" si="4"/>
        <v>8.0000000000000004E-4</v>
      </c>
      <c r="F81">
        <f>wyniki!$A$98</f>
        <v>0</v>
      </c>
      <c r="J81" s="79">
        <f t="shared" si="5"/>
        <v>0</v>
      </c>
      <c r="K81" s="69">
        <f>LARGE($E$2:$E$241,80)</f>
        <v>2.3700000000000001E-3</v>
      </c>
      <c r="L81" s="59">
        <f t="shared" si="6"/>
        <v>237</v>
      </c>
      <c r="M81" s="90">
        <f t="shared" si="7"/>
        <v>0</v>
      </c>
      <c r="N81" s="37">
        <v>80</v>
      </c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</row>
    <row r="82" spans="2:31" ht="17.25" thickTop="1" thickBot="1">
      <c r="B82">
        <f>wyniki!B101</f>
        <v>0</v>
      </c>
      <c r="C82" s="56">
        <f>wyniki!I101</f>
        <v>0</v>
      </c>
      <c r="D82" s="18">
        <v>8.0999999999999996E-4</v>
      </c>
      <c r="E82" s="56">
        <f t="shared" si="4"/>
        <v>8.0999999999999996E-4</v>
      </c>
      <c r="F82">
        <f>wyniki!$A$98</f>
        <v>0</v>
      </c>
      <c r="J82" s="79">
        <f t="shared" si="5"/>
        <v>0</v>
      </c>
      <c r="K82" s="69">
        <f>LARGE($E$2:$E$241,81)</f>
        <v>2.3600000000000001E-3</v>
      </c>
      <c r="L82" s="59">
        <f t="shared" si="6"/>
        <v>236</v>
      </c>
      <c r="M82" s="90">
        <f t="shared" si="7"/>
        <v>0</v>
      </c>
      <c r="N82" s="37">
        <v>81</v>
      </c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</row>
    <row r="83" spans="2:31" ht="17.25" thickTop="1" thickBot="1">
      <c r="B83">
        <f>wyniki!B102</f>
        <v>0</v>
      </c>
      <c r="C83" s="56">
        <f>wyniki!I102</f>
        <v>0</v>
      </c>
      <c r="D83" s="18">
        <v>8.1999999999999998E-4</v>
      </c>
      <c r="E83" s="56">
        <f t="shared" si="4"/>
        <v>8.1999999999999998E-4</v>
      </c>
      <c r="F83">
        <f>wyniki!$A$98</f>
        <v>0</v>
      </c>
      <c r="J83" s="79">
        <f t="shared" si="5"/>
        <v>0</v>
      </c>
      <c r="K83" s="69">
        <f>LARGE($E$2:$E$241,82)</f>
        <v>2.3500000000000001E-3</v>
      </c>
      <c r="L83" s="59">
        <f t="shared" si="6"/>
        <v>235</v>
      </c>
      <c r="M83" s="90">
        <f t="shared" si="7"/>
        <v>0</v>
      </c>
      <c r="N83" s="37">
        <v>82</v>
      </c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</row>
    <row r="84" spans="2:31" ht="17.25" thickTop="1" thickBot="1">
      <c r="B84">
        <f>wyniki!B103</f>
        <v>0</v>
      </c>
      <c r="C84" s="56">
        <f>wyniki!I103</f>
        <v>0</v>
      </c>
      <c r="D84" s="18">
        <v>8.3000000000000001E-4</v>
      </c>
      <c r="E84" s="56">
        <f t="shared" si="4"/>
        <v>8.3000000000000001E-4</v>
      </c>
      <c r="F84">
        <f>wyniki!$A$98</f>
        <v>0</v>
      </c>
      <c r="J84" s="79">
        <f t="shared" si="5"/>
        <v>0</v>
      </c>
      <c r="K84" s="69">
        <f>LARGE($E$2:$E$241,83)</f>
        <v>2.3400000000000001E-3</v>
      </c>
      <c r="L84" s="59">
        <f t="shared" si="6"/>
        <v>234</v>
      </c>
      <c r="M84" s="90">
        <f t="shared" si="7"/>
        <v>0</v>
      </c>
      <c r="N84" s="37">
        <v>83</v>
      </c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</row>
    <row r="85" spans="2:31" ht="17.25" thickTop="1" thickBot="1">
      <c r="B85">
        <f>wyniki!B104</f>
        <v>0</v>
      </c>
      <c r="C85" s="56">
        <f>wyniki!I104</f>
        <v>0</v>
      </c>
      <c r="D85" s="18">
        <v>8.4000000000000003E-4</v>
      </c>
      <c r="E85" s="56">
        <f t="shared" si="4"/>
        <v>8.4000000000000003E-4</v>
      </c>
      <c r="F85">
        <f>wyniki!$A$98</f>
        <v>0</v>
      </c>
      <c r="J85" s="79">
        <f t="shared" si="5"/>
        <v>0</v>
      </c>
      <c r="K85" s="69">
        <f>LARGE($E$2:$E$241,84)</f>
        <v>2.33E-3</v>
      </c>
      <c r="L85" s="59">
        <f t="shared" si="6"/>
        <v>233</v>
      </c>
      <c r="M85" s="90">
        <f t="shared" si="7"/>
        <v>0</v>
      </c>
      <c r="N85" s="37">
        <v>84</v>
      </c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</row>
    <row r="86" spans="2:31" ht="17.25" thickTop="1" thickBot="1">
      <c r="B86">
        <f>wyniki!B106</f>
        <v>0</v>
      </c>
      <c r="C86" s="56">
        <f>wyniki!I106</f>
        <v>0</v>
      </c>
      <c r="D86" s="18">
        <v>8.4999999999999995E-4</v>
      </c>
      <c r="E86" s="56">
        <f t="shared" si="4"/>
        <v>8.4999999999999995E-4</v>
      </c>
      <c r="F86">
        <f>wyniki!$A$105</f>
        <v>0</v>
      </c>
      <c r="J86" s="79">
        <f t="shared" si="5"/>
        <v>0</v>
      </c>
      <c r="K86" s="69">
        <f>LARGE($E$2:$E$241,85)</f>
        <v>2.32E-3</v>
      </c>
      <c r="L86" s="59">
        <f t="shared" si="6"/>
        <v>232</v>
      </c>
      <c r="M86" s="90">
        <f t="shared" si="7"/>
        <v>0</v>
      </c>
      <c r="N86" s="37">
        <v>85</v>
      </c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</row>
    <row r="87" spans="2:31" ht="17.25" thickTop="1" thickBot="1">
      <c r="B87">
        <f>wyniki!B107</f>
        <v>0</v>
      </c>
      <c r="C87" s="56">
        <f>wyniki!I107</f>
        <v>0</v>
      </c>
      <c r="D87" s="18">
        <v>8.5999999999999998E-4</v>
      </c>
      <c r="E87" s="56">
        <f t="shared" si="4"/>
        <v>8.5999999999999998E-4</v>
      </c>
      <c r="F87">
        <f>wyniki!$A$105</f>
        <v>0</v>
      </c>
      <c r="J87" s="79">
        <f t="shared" si="5"/>
        <v>0</v>
      </c>
      <c r="K87" s="69">
        <f>LARGE($E$2:$E$241,86)</f>
        <v>2.31E-3</v>
      </c>
      <c r="L87" s="59">
        <f t="shared" si="6"/>
        <v>231</v>
      </c>
      <c r="M87" s="90">
        <f t="shared" si="7"/>
        <v>0</v>
      </c>
      <c r="N87" s="37">
        <v>86</v>
      </c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</row>
    <row r="88" spans="2:31" ht="17.25" thickTop="1" thickBot="1">
      <c r="B88">
        <f>wyniki!B108</f>
        <v>0</v>
      </c>
      <c r="C88" s="56">
        <f>wyniki!I108</f>
        <v>0</v>
      </c>
      <c r="D88" s="18">
        <v>8.7000000000000001E-4</v>
      </c>
      <c r="E88" s="56">
        <f t="shared" si="4"/>
        <v>8.7000000000000001E-4</v>
      </c>
      <c r="F88">
        <f>wyniki!$A$105</f>
        <v>0</v>
      </c>
      <c r="J88" s="79">
        <f t="shared" si="5"/>
        <v>0</v>
      </c>
      <c r="K88" s="69">
        <f>LARGE($E$2:$E$241,87)</f>
        <v>2.3E-3</v>
      </c>
      <c r="L88" s="59">
        <f t="shared" si="6"/>
        <v>230</v>
      </c>
      <c r="M88" s="90">
        <f t="shared" si="7"/>
        <v>0</v>
      </c>
      <c r="N88" s="37">
        <v>87</v>
      </c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</row>
    <row r="89" spans="2:31" ht="17.25" thickTop="1" thickBot="1">
      <c r="B89">
        <f>wyniki!B109</f>
        <v>0</v>
      </c>
      <c r="C89" s="56">
        <f>wyniki!I109</f>
        <v>0</v>
      </c>
      <c r="D89" s="18">
        <v>8.8000000000000003E-4</v>
      </c>
      <c r="E89" s="56">
        <f t="shared" si="4"/>
        <v>8.8000000000000003E-4</v>
      </c>
      <c r="F89">
        <f>wyniki!$A$105</f>
        <v>0</v>
      </c>
      <c r="J89" s="79">
        <f t="shared" si="5"/>
        <v>0</v>
      </c>
      <c r="K89" s="69">
        <f>LARGE($E$2:$E$241,88)</f>
        <v>2.2899999999999999E-3</v>
      </c>
      <c r="L89" s="59">
        <f t="shared" si="6"/>
        <v>229</v>
      </c>
      <c r="M89" s="90">
        <f t="shared" si="7"/>
        <v>0</v>
      </c>
      <c r="N89" s="37">
        <v>88</v>
      </c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</row>
    <row r="90" spans="2:31" ht="17.25" thickTop="1" thickBot="1">
      <c r="B90">
        <f>wyniki!B110</f>
        <v>0</v>
      </c>
      <c r="C90" s="56">
        <f>wyniki!I110</f>
        <v>0</v>
      </c>
      <c r="D90" s="18">
        <v>8.8999999999999995E-4</v>
      </c>
      <c r="E90" s="56">
        <f t="shared" si="4"/>
        <v>8.8999999999999995E-4</v>
      </c>
      <c r="F90">
        <f>wyniki!$A$105</f>
        <v>0</v>
      </c>
      <c r="J90" s="79">
        <f t="shared" si="5"/>
        <v>0</v>
      </c>
      <c r="K90" s="69">
        <f>LARGE($E$2:$E$241,89)</f>
        <v>2.2799999999999999E-3</v>
      </c>
      <c r="L90" s="59">
        <f t="shared" si="6"/>
        <v>228</v>
      </c>
      <c r="M90" s="90">
        <f t="shared" si="7"/>
        <v>0</v>
      </c>
      <c r="N90" s="37">
        <v>89</v>
      </c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</row>
    <row r="91" spans="2:31" ht="17.25" thickTop="1" thickBot="1">
      <c r="B91">
        <f>wyniki!B111</f>
        <v>0</v>
      </c>
      <c r="C91" s="56">
        <f>wyniki!I111</f>
        <v>0</v>
      </c>
      <c r="D91" s="18">
        <v>8.9999999999999998E-4</v>
      </c>
      <c r="E91" s="56">
        <f t="shared" si="4"/>
        <v>8.9999999999999998E-4</v>
      </c>
      <c r="F91">
        <f>wyniki!$A$105</f>
        <v>0</v>
      </c>
      <c r="J91" s="79">
        <f t="shared" si="5"/>
        <v>0</v>
      </c>
      <c r="K91" s="69">
        <f>LARGE($E$2:$E$241,90)</f>
        <v>2.2699999999999999E-3</v>
      </c>
      <c r="L91" s="59">
        <f t="shared" si="6"/>
        <v>227</v>
      </c>
      <c r="M91" s="90">
        <f t="shared" si="7"/>
        <v>0</v>
      </c>
      <c r="N91" s="37">
        <v>90</v>
      </c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</row>
    <row r="92" spans="2:31" ht="17.25" thickTop="1" thickBot="1">
      <c r="B92">
        <f>wyniki!B113</f>
        <v>0</v>
      </c>
      <c r="C92" s="56">
        <f>wyniki!I113</f>
        <v>0</v>
      </c>
      <c r="D92" s="18">
        <v>9.1E-4</v>
      </c>
      <c r="E92" s="56">
        <f t="shared" si="4"/>
        <v>9.1E-4</v>
      </c>
      <c r="F92">
        <f>wyniki!$A$112</f>
        <v>0</v>
      </c>
      <c r="J92" s="79">
        <f t="shared" si="5"/>
        <v>0</v>
      </c>
      <c r="K92" s="69">
        <f>LARGE($E$2:$E$241,91)</f>
        <v>2.2599999999999999E-3</v>
      </c>
      <c r="L92" s="59">
        <f t="shared" si="6"/>
        <v>226</v>
      </c>
      <c r="M92" s="90">
        <f t="shared" si="7"/>
        <v>0</v>
      </c>
      <c r="N92" s="37">
        <v>91</v>
      </c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</row>
    <row r="93" spans="2:31" ht="17.25" thickTop="1" thickBot="1">
      <c r="B93">
        <f>wyniki!B114</f>
        <v>0</v>
      </c>
      <c r="C93" s="56">
        <f>wyniki!I114</f>
        <v>0</v>
      </c>
      <c r="D93" s="18">
        <v>9.2000000000000003E-4</v>
      </c>
      <c r="E93" s="56">
        <f t="shared" si="4"/>
        <v>9.2000000000000003E-4</v>
      </c>
      <c r="F93">
        <f>wyniki!$A$112</f>
        <v>0</v>
      </c>
      <c r="J93" s="79">
        <f t="shared" si="5"/>
        <v>0</v>
      </c>
      <c r="K93" s="69">
        <f>LARGE($E$2:$E$241,92)</f>
        <v>2.2499999999999998E-3</v>
      </c>
      <c r="L93" s="59">
        <f t="shared" si="6"/>
        <v>225</v>
      </c>
      <c r="M93" s="90">
        <f t="shared" si="7"/>
        <v>0</v>
      </c>
      <c r="N93" s="37">
        <v>92</v>
      </c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</row>
    <row r="94" spans="2:31" ht="17.25" thickTop="1" thickBot="1">
      <c r="B94">
        <f>wyniki!B115</f>
        <v>0</v>
      </c>
      <c r="C94" s="56">
        <f>wyniki!I115</f>
        <v>0</v>
      </c>
      <c r="D94" s="18">
        <v>9.3000000000000005E-4</v>
      </c>
      <c r="E94" s="56">
        <f t="shared" si="4"/>
        <v>9.3000000000000005E-4</v>
      </c>
      <c r="F94">
        <f>wyniki!$A$112</f>
        <v>0</v>
      </c>
      <c r="J94" s="79">
        <f t="shared" si="5"/>
        <v>0</v>
      </c>
      <c r="K94" s="69">
        <f>LARGE($E$2:$E$241,93)</f>
        <v>2.2399999999999998E-3</v>
      </c>
      <c r="L94" s="59">
        <f t="shared" si="6"/>
        <v>224</v>
      </c>
      <c r="M94" s="90">
        <f t="shared" si="7"/>
        <v>0</v>
      </c>
      <c r="N94" s="37">
        <v>93</v>
      </c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</row>
    <row r="95" spans="2:31" ht="17.25" thickTop="1" thickBot="1">
      <c r="B95">
        <f>wyniki!B116</f>
        <v>0</v>
      </c>
      <c r="C95" s="56">
        <f>wyniki!I116</f>
        <v>0</v>
      </c>
      <c r="D95" s="18">
        <v>9.3999999999999997E-4</v>
      </c>
      <c r="E95" s="56">
        <f t="shared" si="4"/>
        <v>9.3999999999999997E-4</v>
      </c>
      <c r="F95">
        <f>wyniki!$A$112</f>
        <v>0</v>
      </c>
      <c r="J95" s="79">
        <f t="shared" si="5"/>
        <v>0</v>
      </c>
      <c r="K95" s="69">
        <f>LARGE($E$2:$E$241,94)</f>
        <v>2.2300000000000002E-3</v>
      </c>
      <c r="L95" s="59">
        <f t="shared" si="6"/>
        <v>223</v>
      </c>
      <c r="M95" s="90">
        <f t="shared" si="7"/>
        <v>0</v>
      </c>
      <c r="N95" s="37">
        <v>94</v>
      </c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</row>
    <row r="96" spans="2:31" ht="17.25" thickTop="1" thickBot="1">
      <c r="B96">
        <f>wyniki!B117</f>
        <v>0</v>
      </c>
      <c r="C96" s="56">
        <f>wyniki!I117</f>
        <v>0</v>
      </c>
      <c r="D96" s="18">
        <v>9.5E-4</v>
      </c>
      <c r="E96" s="56">
        <f t="shared" si="4"/>
        <v>9.5E-4</v>
      </c>
      <c r="F96">
        <f>wyniki!$A$112</f>
        <v>0</v>
      </c>
      <c r="J96" s="79">
        <f t="shared" si="5"/>
        <v>0</v>
      </c>
      <c r="K96" s="69">
        <f>LARGE($E$2:$E$241,95)</f>
        <v>2.2200000000000002E-3</v>
      </c>
      <c r="L96" s="59">
        <f t="shared" si="6"/>
        <v>222</v>
      </c>
      <c r="M96" s="90">
        <f t="shared" si="7"/>
        <v>0</v>
      </c>
      <c r="N96" s="37">
        <v>95</v>
      </c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</row>
    <row r="97" spans="2:31" ht="17.25" thickTop="1" thickBot="1">
      <c r="B97">
        <f>wyniki!B118</f>
        <v>0</v>
      </c>
      <c r="C97" s="56">
        <f>wyniki!I118</f>
        <v>0</v>
      </c>
      <c r="D97" s="18">
        <v>9.6000000000000002E-4</v>
      </c>
      <c r="E97" s="56">
        <f t="shared" si="4"/>
        <v>9.6000000000000002E-4</v>
      </c>
      <c r="F97">
        <f>wyniki!$A$112</f>
        <v>0</v>
      </c>
      <c r="J97" s="79">
        <f t="shared" si="5"/>
        <v>0</v>
      </c>
      <c r="K97" s="69">
        <f>LARGE($E$2:$E$241,96)</f>
        <v>2.2100000000000002E-3</v>
      </c>
      <c r="L97" s="59">
        <f t="shared" si="6"/>
        <v>221</v>
      </c>
      <c r="M97" s="90">
        <f t="shared" si="7"/>
        <v>0</v>
      </c>
      <c r="N97" s="37">
        <v>96</v>
      </c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</row>
    <row r="98" spans="2:31" ht="17.25" thickTop="1" thickBot="1">
      <c r="B98">
        <f>wyniki!B120</f>
        <v>0</v>
      </c>
      <c r="C98" s="56">
        <f>wyniki!I120</f>
        <v>0</v>
      </c>
      <c r="D98" s="18">
        <v>9.7000000000000005E-4</v>
      </c>
      <c r="E98" s="56">
        <f t="shared" si="4"/>
        <v>9.7000000000000005E-4</v>
      </c>
      <c r="F98">
        <f>wyniki!$A$119</f>
        <v>0</v>
      </c>
      <c r="J98" s="79">
        <f t="shared" si="5"/>
        <v>0</v>
      </c>
      <c r="K98" s="69">
        <f>LARGE($E$2:$E$241,97)</f>
        <v>2.2000000000000001E-3</v>
      </c>
      <c r="L98" s="59">
        <f t="shared" si="6"/>
        <v>220</v>
      </c>
      <c r="M98" s="90">
        <f t="shared" si="7"/>
        <v>0</v>
      </c>
      <c r="N98" s="37">
        <v>97</v>
      </c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</row>
    <row r="99" spans="2:31" ht="17.25" thickTop="1" thickBot="1">
      <c r="B99">
        <f>wyniki!B121</f>
        <v>0</v>
      </c>
      <c r="C99" s="56">
        <f>wyniki!I121</f>
        <v>0</v>
      </c>
      <c r="D99" s="18">
        <v>9.7999999999999997E-4</v>
      </c>
      <c r="E99" s="56">
        <f t="shared" si="4"/>
        <v>9.7999999999999997E-4</v>
      </c>
      <c r="F99">
        <f>wyniki!$A$119</f>
        <v>0</v>
      </c>
      <c r="J99" s="79">
        <f t="shared" si="5"/>
        <v>0</v>
      </c>
      <c r="K99" s="69">
        <f>LARGE($E$2:$E$241,98)</f>
        <v>2.1900000000000001E-3</v>
      </c>
      <c r="L99" s="59">
        <f t="shared" si="6"/>
        <v>219</v>
      </c>
      <c r="M99" s="90">
        <f t="shared" si="7"/>
        <v>0</v>
      </c>
      <c r="N99" s="37">
        <v>98</v>
      </c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</row>
    <row r="100" spans="2:31" ht="17.25" thickTop="1" thickBot="1">
      <c r="B100">
        <f>wyniki!B122</f>
        <v>0</v>
      </c>
      <c r="C100" s="56">
        <f>wyniki!I122</f>
        <v>0</v>
      </c>
      <c r="D100" s="18">
        <v>9.8999999999999999E-4</v>
      </c>
      <c r="E100" s="56">
        <f t="shared" si="4"/>
        <v>9.8999999999999999E-4</v>
      </c>
      <c r="F100">
        <f>wyniki!$A$119</f>
        <v>0</v>
      </c>
      <c r="J100" s="79">
        <f t="shared" si="5"/>
        <v>0</v>
      </c>
      <c r="K100" s="69">
        <f>LARGE($E$2:$E$241,99)</f>
        <v>2.1800000000000001E-3</v>
      </c>
      <c r="L100" s="59">
        <f t="shared" si="6"/>
        <v>218</v>
      </c>
      <c r="M100" s="90">
        <f t="shared" si="7"/>
        <v>0</v>
      </c>
      <c r="N100" s="37">
        <v>99</v>
      </c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</row>
    <row r="101" spans="2:31" ht="17.25" thickTop="1" thickBot="1">
      <c r="B101">
        <f>wyniki!B123</f>
        <v>0</v>
      </c>
      <c r="C101" s="56">
        <f>wyniki!I123</f>
        <v>0</v>
      </c>
      <c r="D101" s="18">
        <v>1E-3</v>
      </c>
      <c r="E101" s="56">
        <f t="shared" si="4"/>
        <v>1E-3</v>
      </c>
      <c r="F101">
        <f>wyniki!$A$119</f>
        <v>0</v>
      </c>
      <c r="J101" s="79">
        <f t="shared" si="5"/>
        <v>0</v>
      </c>
      <c r="K101" s="69">
        <f>LARGE($E$2:$E$241,100)</f>
        <v>2.1700000000000001E-3</v>
      </c>
      <c r="L101" s="59">
        <f t="shared" si="6"/>
        <v>217</v>
      </c>
      <c r="M101" s="90">
        <f t="shared" si="7"/>
        <v>0</v>
      </c>
      <c r="N101" s="37">
        <v>100</v>
      </c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</row>
    <row r="102" spans="2:31" ht="17.25" thickTop="1" thickBot="1">
      <c r="B102">
        <f>wyniki!B124</f>
        <v>0</v>
      </c>
      <c r="C102" s="56">
        <f>wyniki!I124</f>
        <v>0</v>
      </c>
      <c r="D102" s="18">
        <v>1.01E-3</v>
      </c>
      <c r="E102" s="56">
        <f t="shared" si="4"/>
        <v>1.01E-3</v>
      </c>
      <c r="F102">
        <f>wyniki!$A$119</f>
        <v>0</v>
      </c>
      <c r="J102" s="79">
        <f t="shared" si="5"/>
        <v>0</v>
      </c>
      <c r="K102" s="69">
        <f>LARGE($E$2:$E$241,101)</f>
        <v>2.16E-3</v>
      </c>
      <c r="L102" s="59">
        <f t="shared" si="6"/>
        <v>216</v>
      </c>
      <c r="M102" s="90">
        <f t="shared" si="7"/>
        <v>0</v>
      </c>
      <c r="N102" s="37">
        <v>101</v>
      </c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</row>
    <row r="103" spans="2:31" ht="17.25" thickTop="1" thickBot="1">
      <c r="B103">
        <f>wyniki!B125</f>
        <v>0</v>
      </c>
      <c r="C103" s="56">
        <f>wyniki!I125</f>
        <v>0</v>
      </c>
      <c r="D103" s="18">
        <v>1.0200000000000001E-3</v>
      </c>
      <c r="E103" s="56">
        <f t="shared" si="4"/>
        <v>1.0200000000000001E-3</v>
      </c>
      <c r="F103">
        <f>wyniki!$A$119</f>
        <v>0</v>
      </c>
      <c r="J103" s="79">
        <f t="shared" si="5"/>
        <v>0</v>
      </c>
      <c r="K103" s="69">
        <f>LARGE($E$2:$E$241,102)</f>
        <v>2.15E-3</v>
      </c>
      <c r="L103" s="59">
        <f t="shared" si="6"/>
        <v>215</v>
      </c>
      <c r="M103" s="90">
        <f t="shared" si="7"/>
        <v>0</v>
      </c>
      <c r="N103" s="37">
        <v>102</v>
      </c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</row>
    <row r="104" spans="2:31" ht="17.25" thickTop="1" thickBot="1">
      <c r="B104">
        <f>wyniki!B127</f>
        <v>0</v>
      </c>
      <c r="C104" s="56">
        <f>wyniki!I127</f>
        <v>0</v>
      </c>
      <c r="D104" s="18">
        <v>1.0300000000000001E-3</v>
      </c>
      <c r="E104" s="56">
        <f t="shared" si="4"/>
        <v>1.0300000000000001E-3</v>
      </c>
      <c r="F104">
        <f>wyniki!$A$126</f>
        <v>0</v>
      </c>
      <c r="J104" s="79">
        <f t="shared" si="5"/>
        <v>0</v>
      </c>
      <c r="K104" s="69">
        <f>LARGE($E$2:$E$241,103)</f>
        <v>2.14E-3</v>
      </c>
      <c r="L104" s="59">
        <f t="shared" si="6"/>
        <v>214</v>
      </c>
      <c r="M104" s="90">
        <f t="shared" si="7"/>
        <v>0</v>
      </c>
      <c r="N104" s="37">
        <v>103</v>
      </c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</row>
    <row r="105" spans="2:31" ht="17.25" thickTop="1" thickBot="1">
      <c r="B105">
        <f>wyniki!B128</f>
        <v>0</v>
      </c>
      <c r="C105" s="56">
        <f>wyniki!I128</f>
        <v>0</v>
      </c>
      <c r="D105" s="18">
        <v>1.0399999999999999E-3</v>
      </c>
      <c r="E105" s="56">
        <f t="shared" si="4"/>
        <v>1.0399999999999999E-3</v>
      </c>
      <c r="F105">
        <f>wyniki!$A$126</f>
        <v>0</v>
      </c>
      <c r="J105" s="79">
        <f t="shared" si="5"/>
        <v>0</v>
      </c>
      <c r="K105" s="69">
        <f>LARGE($E$2:$E$241,104)</f>
        <v>2.1299999999999999E-3</v>
      </c>
      <c r="L105" s="59">
        <f t="shared" si="6"/>
        <v>213</v>
      </c>
      <c r="M105" s="90">
        <f t="shared" si="7"/>
        <v>0</v>
      </c>
      <c r="N105" s="37">
        <v>104</v>
      </c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</row>
    <row r="106" spans="2:31" ht="17.25" thickTop="1" thickBot="1">
      <c r="B106">
        <f>wyniki!B129</f>
        <v>0</v>
      </c>
      <c r="C106" s="56">
        <f>wyniki!I129</f>
        <v>0</v>
      </c>
      <c r="D106" s="18">
        <v>1.0499999999999999E-3</v>
      </c>
      <c r="E106" s="56">
        <f t="shared" si="4"/>
        <v>1.0499999999999999E-3</v>
      </c>
      <c r="F106">
        <f>wyniki!$A$126</f>
        <v>0</v>
      </c>
      <c r="J106" s="79">
        <f t="shared" si="5"/>
        <v>0</v>
      </c>
      <c r="K106" s="69">
        <f>LARGE($E$2:$E$241,105)</f>
        <v>2.1199999999999999E-3</v>
      </c>
      <c r="L106" s="59">
        <f t="shared" si="6"/>
        <v>212</v>
      </c>
      <c r="M106" s="90">
        <f t="shared" si="7"/>
        <v>0</v>
      </c>
      <c r="N106" s="37">
        <v>105</v>
      </c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</row>
    <row r="107" spans="2:31" ht="17.25" thickTop="1" thickBot="1">
      <c r="B107">
        <f>wyniki!B130</f>
        <v>0</v>
      </c>
      <c r="C107" s="56">
        <f>wyniki!I130</f>
        <v>0</v>
      </c>
      <c r="D107" s="18">
        <v>1.06E-3</v>
      </c>
      <c r="E107" s="56">
        <f t="shared" si="4"/>
        <v>1.06E-3</v>
      </c>
      <c r="F107">
        <f>wyniki!$A$126</f>
        <v>0</v>
      </c>
      <c r="J107" s="79">
        <f t="shared" si="5"/>
        <v>0</v>
      </c>
      <c r="K107" s="69">
        <f>LARGE($E$2:$E$241,106)</f>
        <v>2.1099999999999999E-3</v>
      </c>
      <c r="L107" s="59">
        <f t="shared" si="6"/>
        <v>211</v>
      </c>
      <c r="M107" s="90">
        <f t="shared" si="7"/>
        <v>0</v>
      </c>
      <c r="N107" s="37">
        <v>106</v>
      </c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</row>
    <row r="108" spans="2:31" ht="17.25" thickTop="1" thickBot="1">
      <c r="B108">
        <f>wyniki!B131</f>
        <v>0</v>
      </c>
      <c r="C108" s="56">
        <f>wyniki!I131</f>
        <v>0</v>
      </c>
      <c r="D108" s="18">
        <v>1.07E-3</v>
      </c>
      <c r="E108" s="56">
        <f t="shared" si="4"/>
        <v>1.07E-3</v>
      </c>
      <c r="F108">
        <f>wyniki!$A$126</f>
        <v>0</v>
      </c>
      <c r="J108" s="79">
        <f t="shared" si="5"/>
        <v>0</v>
      </c>
      <c r="K108" s="69">
        <f>LARGE($E$2:$E$241,107)</f>
        <v>2.0999999999999999E-3</v>
      </c>
      <c r="L108" s="59">
        <f t="shared" si="6"/>
        <v>210</v>
      </c>
      <c r="M108" s="90">
        <f t="shared" si="7"/>
        <v>0</v>
      </c>
      <c r="N108" s="37">
        <v>107</v>
      </c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</row>
    <row r="109" spans="2:31" ht="17.25" thickTop="1" thickBot="1">
      <c r="B109">
        <f>wyniki!B132</f>
        <v>0</v>
      </c>
      <c r="C109" s="56">
        <f>wyniki!I132</f>
        <v>0</v>
      </c>
      <c r="D109" s="18">
        <v>1.08E-3</v>
      </c>
      <c r="E109" s="56">
        <f t="shared" si="4"/>
        <v>1.08E-3</v>
      </c>
      <c r="F109">
        <f>wyniki!$A$126</f>
        <v>0</v>
      </c>
      <c r="J109" s="79">
        <f t="shared" si="5"/>
        <v>0</v>
      </c>
      <c r="K109" s="69">
        <f>LARGE($E$2:$E$241,108)</f>
        <v>2.0899999999999998E-3</v>
      </c>
      <c r="L109" s="59">
        <f t="shared" si="6"/>
        <v>209</v>
      </c>
      <c r="M109" s="90">
        <f t="shared" si="7"/>
        <v>0</v>
      </c>
      <c r="N109" s="37">
        <v>108</v>
      </c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</row>
    <row r="110" spans="2:31" ht="17.25" thickTop="1" thickBot="1">
      <c r="B110">
        <f>wyniki!B134</f>
        <v>0</v>
      </c>
      <c r="C110" s="56">
        <f>wyniki!I134</f>
        <v>0</v>
      </c>
      <c r="D110" s="18">
        <v>1.09E-3</v>
      </c>
      <c r="E110" s="56">
        <f t="shared" si="4"/>
        <v>1.09E-3</v>
      </c>
      <c r="F110">
        <f>wyniki!$A$133</f>
        <v>0</v>
      </c>
      <c r="J110" s="79">
        <f t="shared" si="5"/>
        <v>0</v>
      </c>
      <c r="K110" s="69">
        <f>LARGE($E$2:$E$241,109)</f>
        <v>2.0799999999999998E-3</v>
      </c>
      <c r="L110" s="59">
        <f t="shared" si="6"/>
        <v>208</v>
      </c>
      <c r="M110" s="90">
        <f t="shared" si="7"/>
        <v>0</v>
      </c>
      <c r="N110" s="37">
        <v>109</v>
      </c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</row>
    <row r="111" spans="2:31" ht="17.25" thickTop="1" thickBot="1">
      <c r="B111">
        <f>wyniki!B135</f>
        <v>0</v>
      </c>
      <c r="C111" s="56">
        <f>wyniki!I135</f>
        <v>0</v>
      </c>
      <c r="D111" s="18">
        <v>1.1000000000000001E-3</v>
      </c>
      <c r="E111" s="56">
        <f t="shared" si="4"/>
        <v>1.1000000000000001E-3</v>
      </c>
      <c r="F111">
        <f>wyniki!$A$133</f>
        <v>0</v>
      </c>
      <c r="J111" s="79">
        <f t="shared" si="5"/>
        <v>0</v>
      </c>
      <c r="K111" s="69">
        <f>LARGE($E$2:$E$241,110)</f>
        <v>2.0699999999999998E-3</v>
      </c>
      <c r="L111" s="59">
        <f t="shared" si="6"/>
        <v>207</v>
      </c>
      <c r="M111" s="90">
        <f t="shared" si="7"/>
        <v>0</v>
      </c>
      <c r="N111" s="37">
        <v>110</v>
      </c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</row>
    <row r="112" spans="2:31" ht="17.25" thickTop="1" thickBot="1">
      <c r="B112">
        <f>wyniki!B136</f>
        <v>0</v>
      </c>
      <c r="C112" s="56">
        <f>wyniki!I136</f>
        <v>0</v>
      </c>
      <c r="D112" s="18">
        <v>1.1100000000000001E-3</v>
      </c>
      <c r="E112" s="56">
        <f t="shared" si="4"/>
        <v>1.1100000000000001E-3</v>
      </c>
      <c r="F112">
        <f>wyniki!$A$133</f>
        <v>0</v>
      </c>
      <c r="J112" s="79">
        <f t="shared" si="5"/>
        <v>0</v>
      </c>
      <c r="K112" s="69">
        <f>LARGE($E$2:$E$241,111)</f>
        <v>2.0600000000000002E-3</v>
      </c>
      <c r="L112" s="59">
        <f t="shared" si="6"/>
        <v>206</v>
      </c>
      <c r="M112" s="90">
        <f t="shared" si="7"/>
        <v>0</v>
      </c>
      <c r="N112" s="37">
        <v>111</v>
      </c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</row>
    <row r="113" spans="2:31" ht="17.25" thickTop="1" thickBot="1">
      <c r="B113">
        <f>wyniki!B137</f>
        <v>0</v>
      </c>
      <c r="C113" s="56">
        <f>wyniki!I137</f>
        <v>0</v>
      </c>
      <c r="D113" s="18">
        <v>1.1199999999999999E-3</v>
      </c>
      <c r="E113" s="56">
        <f t="shared" si="4"/>
        <v>1.1199999999999999E-3</v>
      </c>
      <c r="F113">
        <f>wyniki!$A$133</f>
        <v>0</v>
      </c>
      <c r="J113" s="79">
        <f t="shared" si="5"/>
        <v>0</v>
      </c>
      <c r="K113" s="69">
        <f>LARGE($E$2:$E$241,112)</f>
        <v>2.0500000000000002E-3</v>
      </c>
      <c r="L113" s="59">
        <f t="shared" si="6"/>
        <v>205</v>
      </c>
      <c r="M113" s="90">
        <f t="shared" si="7"/>
        <v>0</v>
      </c>
      <c r="N113" s="37">
        <v>112</v>
      </c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</row>
    <row r="114" spans="2:31" ht="17.25" thickTop="1" thickBot="1">
      <c r="B114">
        <f>wyniki!B138</f>
        <v>0</v>
      </c>
      <c r="C114" s="56">
        <f>wyniki!I138</f>
        <v>0</v>
      </c>
      <c r="D114" s="18">
        <v>1.1299999999999999E-3</v>
      </c>
      <c r="E114" s="56">
        <f t="shared" si="4"/>
        <v>1.1299999999999999E-3</v>
      </c>
      <c r="F114">
        <f>wyniki!$A$133</f>
        <v>0</v>
      </c>
      <c r="J114" s="79">
        <f t="shared" si="5"/>
        <v>0</v>
      </c>
      <c r="K114" s="69">
        <f>LARGE($E$2:$E$241,113)</f>
        <v>2.0400000000000001E-3</v>
      </c>
      <c r="L114" s="59">
        <f t="shared" si="6"/>
        <v>204</v>
      </c>
      <c r="M114" s="90">
        <f t="shared" si="7"/>
        <v>0</v>
      </c>
      <c r="N114" s="37">
        <v>113</v>
      </c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</row>
    <row r="115" spans="2:31" ht="17.25" thickTop="1" thickBot="1">
      <c r="B115">
        <f>wyniki!B139</f>
        <v>0</v>
      </c>
      <c r="C115" s="56">
        <f>wyniki!I139</f>
        <v>0</v>
      </c>
      <c r="D115" s="18">
        <v>1.14E-3</v>
      </c>
      <c r="E115" s="56">
        <f t="shared" si="4"/>
        <v>1.14E-3</v>
      </c>
      <c r="F115">
        <f>wyniki!$A$133</f>
        <v>0</v>
      </c>
      <c r="J115" s="79">
        <f t="shared" si="5"/>
        <v>0</v>
      </c>
      <c r="K115" s="69">
        <f>LARGE($E$2:$E$241,114)</f>
        <v>2.0300000000000001E-3</v>
      </c>
      <c r="L115" s="59">
        <f t="shared" si="6"/>
        <v>203</v>
      </c>
      <c r="M115" s="90">
        <f t="shared" si="7"/>
        <v>0</v>
      </c>
      <c r="N115" s="37">
        <v>114</v>
      </c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</row>
    <row r="116" spans="2:31" ht="17.25" thickTop="1" thickBot="1">
      <c r="B116">
        <f>wyniki!B141</f>
        <v>0</v>
      </c>
      <c r="C116" s="56">
        <f>wyniki!I141</f>
        <v>0</v>
      </c>
      <c r="D116" s="18">
        <v>1.15E-3</v>
      </c>
      <c r="E116" s="56">
        <f t="shared" si="4"/>
        <v>1.15E-3</v>
      </c>
      <c r="F116">
        <f>wyniki!$A$140</f>
        <v>0</v>
      </c>
      <c r="J116" s="79">
        <f t="shared" si="5"/>
        <v>0</v>
      </c>
      <c r="K116" s="69">
        <f>LARGE($E$2:$E$241,115)</f>
        <v>2.0200000000000001E-3</v>
      </c>
      <c r="L116" s="59">
        <f t="shared" si="6"/>
        <v>202</v>
      </c>
      <c r="M116" s="90">
        <f t="shared" si="7"/>
        <v>0</v>
      </c>
      <c r="N116" s="37">
        <v>115</v>
      </c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</row>
    <row r="117" spans="2:31" ht="17.25" thickTop="1" thickBot="1">
      <c r="B117">
        <f>wyniki!B142</f>
        <v>0</v>
      </c>
      <c r="C117" s="56">
        <f>wyniki!I142</f>
        <v>0</v>
      </c>
      <c r="D117" s="18">
        <v>1.16E-3</v>
      </c>
      <c r="E117" s="56">
        <f t="shared" si="4"/>
        <v>1.16E-3</v>
      </c>
      <c r="F117">
        <f>wyniki!$A$140</f>
        <v>0</v>
      </c>
      <c r="J117" s="79">
        <f t="shared" si="5"/>
        <v>0</v>
      </c>
      <c r="K117" s="69">
        <f>LARGE($E$2:$E$241,116)</f>
        <v>2.0100000000000001E-3</v>
      </c>
      <c r="L117" s="59">
        <f t="shared" si="6"/>
        <v>201</v>
      </c>
      <c r="M117" s="90">
        <f t="shared" si="7"/>
        <v>0</v>
      </c>
      <c r="N117" s="37">
        <v>116</v>
      </c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</row>
    <row r="118" spans="2:31" ht="17.25" thickTop="1" thickBot="1">
      <c r="B118">
        <f>wyniki!B143</f>
        <v>0</v>
      </c>
      <c r="C118" s="56">
        <f>wyniki!I143</f>
        <v>0</v>
      </c>
      <c r="D118" s="18">
        <v>1.17E-3</v>
      </c>
      <c r="E118" s="56">
        <f t="shared" si="4"/>
        <v>1.17E-3</v>
      </c>
      <c r="F118">
        <f>wyniki!$A$140</f>
        <v>0</v>
      </c>
      <c r="J118" s="79">
        <f t="shared" si="5"/>
        <v>0</v>
      </c>
      <c r="K118" s="69">
        <f>LARGE($E$2:$E$241,117)</f>
        <v>2E-3</v>
      </c>
      <c r="L118" s="59">
        <f t="shared" si="6"/>
        <v>200</v>
      </c>
      <c r="M118" s="90">
        <f t="shared" si="7"/>
        <v>0</v>
      </c>
      <c r="N118" s="37">
        <v>117</v>
      </c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</row>
    <row r="119" spans="2:31" ht="17.25" thickTop="1" thickBot="1">
      <c r="B119">
        <f>wyniki!B144</f>
        <v>0</v>
      </c>
      <c r="C119" s="56">
        <f>wyniki!I144</f>
        <v>0</v>
      </c>
      <c r="D119" s="18">
        <v>1.1800000000000001E-3</v>
      </c>
      <c r="E119" s="56">
        <f t="shared" si="4"/>
        <v>1.1800000000000001E-3</v>
      </c>
      <c r="F119">
        <f>wyniki!$A$140</f>
        <v>0</v>
      </c>
      <c r="J119" s="79">
        <f t="shared" si="5"/>
        <v>0</v>
      </c>
      <c r="K119" s="69">
        <f>LARGE($E$2:$E$241,118)</f>
        <v>1.99E-3</v>
      </c>
      <c r="L119" s="59">
        <f t="shared" si="6"/>
        <v>199</v>
      </c>
      <c r="M119" s="90">
        <f t="shared" si="7"/>
        <v>0</v>
      </c>
      <c r="N119" s="37">
        <v>118</v>
      </c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</row>
    <row r="120" spans="2:31" ht="17.25" thickTop="1" thickBot="1">
      <c r="B120">
        <f>wyniki!B145</f>
        <v>0</v>
      </c>
      <c r="C120" s="56">
        <f>wyniki!I145</f>
        <v>0</v>
      </c>
      <c r="D120" s="18">
        <v>1.1900000000000001E-3</v>
      </c>
      <c r="E120" s="56">
        <f t="shared" si="4"/>
        <v>1.1900000000000001E-3</v>
      </c>
      <c r="F120">
        <f>wyniki!$A$140</f>
        <v>0</v>
      </c>
      <c r="J120" s="79">
        <f t="shared" si="5"/>
        <v>0</v>
      </c>
      <c r="K120" s="69">
        <f>LARGE($E$2:$E$241,119)</f>
        <v>1.98E-3</v>
      </c>
      <c r="L120" s="59">
        <f t="shared" si="6"/>
        <v>198</v>
      </c>
      <c r="M120" s="90">
        <f t="shared" si="7"/>
        <v>0</v>
      </c>
      <c r="N120" s="37">
        <v>119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</row>
    <row r="121" spans="2:31" ht="17.25" thickTop="1" thickBot="1">
      <c r="B121">
        <f>wyniki!B146</f>
        <v>0</v>
      </c>
      <c r="C121" s="56">
        <f>wyniki!I146</f>
        <v>0</v>
      </c>
      <c r="D121" s="18">
        <v>1.1999999999999999E-3</v>
      </c>
      <c r="E121" s="56">
        <f t="shared" si="4"/>
        <v>1.1999999999999999E-3</v>
      </c>
      <c r="F121">
        <f>wyniki!$A$140</f>
        <v>0</v>
      </c>
      <c r="J121" s="79">
        <f t="shared" si="5"/>
        <v>0</v>
      </c>
      <c r="K121" s="69">
        <f>LARGE($E$2:$E$241,120)</f>
        <v>1.97E-3</v>
      </c>
      <c r="L121" s="59">
        <f t="shared" si="6"/>
        <v>197</v>
      </c>
      <c r="M121" s="90">
        <f t="shared" si="7"/>
        <v>0</v>
      </c>
      <c r="N121" s="37">
        <v>120</v>
      </c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spans="2:31" ht="17.25" thickTop="1" thickBot="1">
      <c r="B122">
        <f>wyniki!B148</f>
        <v>0</v>
      </c>
      <c r="C122" s="56">
        <f>wyniki!I148</f>
        <v>0</v>
      </c>
      <c r="D122" s="18">
        <v>1.2099999999999999E-3</v>
      </c>
      <c r="E122" s="56">
        <f t="shared" si="4"/>
        <v>1.2099999999999999E-3</v>
      </c>
      <c r="F122">
        <f>wyniki!$A$147</f>
        <v>0</v>
      </c>
      <c r="J122" s="79">
        <f t="shared" si="5"/>
        <v>0</v>
      </c>
      <c r="K122" s="69">
        <f>LARGE($E$2:$E$241,121)</f>
        <v>1.9599999999999999E-3</v>
      </c>
      <c r="L122" s="59">
        <f t="shared" si="6"/>
        <v>196</v>
      </c>
      <c r="M122" s="90">
        <f t="shared" si="7"/>
        <v>0</v>
      </c>
      <c r="N122" s="37">
        <v>121</v>
      </c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</row>
    <row r="123" spans="2:31" ht="17.25" thickTop="1" thickBot="1">
      <c r="B123">
        <f>wyniki!B149</f>
        <v>0</v>
      </c>
      <c r="C123" s="56">
        <f>wyniki!I149</f>
        <v>0</v>
      </c>
      <c r="D123" s="18">
        <v>1.2199999999999999E-3</v>
      </c>
      <c r="E123" s="56">
        <f t="shared" si="4"/>
        <v>1.2199999999999999E-3</v>
      </c>
      <c r="F123">
        <f>wyniki!$A$147</f>
        <v>0</v>
      </c>
      <c r="J123" s="79">
        <f t="shared" si="5"/>
        <v>0</v>
      </c>
      <c r="K123" s="69">
        <f>LARGE($E$2:$E$241,122)</f>
        <v>1.9499999999999999E-3</v>
      </c>
      <c r="L123" s="59">
        <f t="shared" si="6"/>
        <v>195</v>
      </c>
      <c r="M123" s="90">
        <f t="shared" si="7"/>
        <v>0</v>
      </c>
      <c r="N123" s="37">
        <v>122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</row>
    <row r="124" spans="2:31" ht="17.25" thickTop="1" thickBot="1">
      <c r="B124">
        <f>wyniki!B150</f>
        <v>0</v>
      </c>
      <c r="C124" s="56">
        <f>wyniki!I150</f>
        <v>0</v>
      </c>
      <c r="D124" s="18">
        <v>1.23E-3</v>
      </c>
      <c r="E124" s="56">
        <f t="shared" si="4"/>
        <v>1.23E-3</v>
      </c>
      <c r="F124">
        <f>wyniki!$A$147</f>
        <v>0</v>
      </c>
      <c r="J124" s="79">
        <f t="shared" si="5"/>
        <v>0</v>
      </c>
      <c r="K124" s="69">
        <f>LARGE($E$2:$E$241,123)</f>
        <v>1.9400000000000001E-3</v>
      </c>
      <c r="L124" s="59">
        <f t="shared" si="6"/>
        <v>194</v>
      </c>
      <c r="M124" s="90">
        <f t="shared" si="7"/>
        <v>0</v>
      </c>
      <c r="N124" s="37">
        <v>123</v>
      </c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</row>
    <row r="125" spans="2:31" ht="17.25" thickTop="1" thickBot="1">
      <c r="B125">
        <f>wyniki!B151</f>
        <v>0</v>
      </c>
      <c r="C125" s="56">
        <f>wyniki!I151</f>
        <v>0</v>
      </c>
      <c r="D125" s="18">
        <v>1.24E-3</v>
      </c>
      <c r="E125" s="56">
        <f t="shared" si="4"/>
        <v>1.24E-3</v>
      </c>
      <c r="F125">
        <f>wyniki!$A$147</f>
        <v>0</v>
      </c>
      <c r="J125" s="79">
        <f t="shared" si="5"/>
        <v>0</v>
      </c>
      <c r="K125" s="69">
        <f>LARGE($E$2:$E$241,124)</f>
        <v>1.9300000000000001E-3</v>
      </c>
      <c r="L125" s="59">
        <f t="shared" si="6"/>
        <v>193</v>
      </c>
      <c r="M125" s="90">
        <f t="shared" si="7"/>
        <v>0</v>
      </c>
      <c r="N125" s="37">
        <v>124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</row>
    <row r="126" spans="2:31" ht="17.25" thickTop="1" thickBot="1">
      <c r="B126">
        <f>wyniki!B152</f>
        <v>0</v>
      </c>
      <c r="C126" s="56">
        <f>wyniki!I152</f>
        <v>0</v>
      </c>
      <c r="D126" s="18">
        <v>1.25E-3</v>
      </c>
      <c r="E126" s="56">
        <f t="shared" si="4"/>
        <v>1.25E-3</v>
      </c>
      <c r="F126">
        <f>wyniki!$A$147</f>
        <v>0</v>
      </c>
      <c r="J126" s="79">
        <f t="shared" si="5"/>
        <v>0</v>
      </c>
      <c r="K126" s="69">
        <f>LARGE($E$2:$E$241,125)</f>
        <v>1.92E-3</v>
      </c>
      <c r="L126" s="59">
        <f t="shared" si="6"/>
        <v>192</v>
      </c>
      <c r="M126" s="90">
        <f t="shared" si="7"/>
        <v>0</v>
      </c>
      <c r="N126" s="37">
        <v>125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</row>
    <row r="127" spans="2:31" ht="17.25" thickTop="1" thickBot="1">
      <c r="B127">
        <f>wyniki!B153</f>
        <v>0</v>
      </c>
      <c r="C127" s="56">
        <f>wyniki!I153</f>
        <v>0</v>
      </c>
      <c r="D127" s="18">
        <v>1.2600000000000001E-3</v>
      </c>
      <c r="E127" s="56">
        <f t="shared" si="4"/>
        <v>1.2600000000000001E-3</v>
      </c>
      <c r="F127">
        <f>wyniki!$A$147</f>
        <v>0</v>
      </c>
      <c r="J127" s="79">
        <f t="shared" si="5"/>
        <v>0</v>
      </c>
      <c r="K127" s="69">
        <f>LARGE($E$2:$E$241,126)</f>
        <v>1.91E-3</v>
      </c>
      <c r="L127" s="59">
        <f t="shared" si="6"/>
        <v>191</v>
      </c>
      <c r="M127" s="90">
        <f t="shared" si="7"/>
        <v>0</v>
      </c>
      <c r="N127" s="37">
        <v>126</v>
      </c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</row>
    <row r="128" spans="2:31" ht="17.25" thickTop="1" thickBot="1">
      <c r="B128">
        <f>wyniki!B155</f>
        <v>0</v>
      </c>
      <c r="C128" s="56">
        <f>wyniki!I155</f>
        <v>0</v>
      </c>
      <c r="D128" s="18">
        <v>1.2700000000000001E-3</v>
      </c>
      <c r="E128" s="56">
        <f t="shared" si="4"/>
        <v>1.2700000000000001E-3</v>
      </c>
      <c r="F128">
        <f>wyniki!$A$154</f>
        <v>0</v>
      </c>
      <c r="J128" s="79">
        <f t="shared" si="5"/>
        <v>0</v>
      </c>
      <c r="K128" s="69">
        <f>LARGE($E$2:$E$241,127)</f>
        <v>1.9E-3</v>
      </c>
      <c r="L128" s="59">
        <f t="shared" si="6"/>
        <v>190</v>
      </c>
      <c r="M128" s="90">
        <f t="shared" si="7"/>
        <v>0</v>
      </c>
      <c r="N128" s="37">
        <v>127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</row>
    <row r="129" spans="2:31" ht="17.25" thickTop="1" thickBot="1">
      <c r="B129">
        <f>wyniki!B156</f>
        <v>0</v>
      </c>
      <c r="C129" s="56">
        <f>wyniki!I156</f>
        <v>0</v>
      </c>
      <c r="D129" s="18">
        <v>1.2800000000000001E-3</v>
      </c>
      <c r="E129" s="56">
        <f t="shared" si="4"/>
        <v>1.2800000000000001E-3</v>
      </c>
      <c r="F129">
        <f>wyniki!$A$154</f>
        <v>0</v>
      </c>
      <c r="J129" s="79">
        <f t="shared" si="5"/>
        <v>0</v>
      </c>
      <c r="K129" s="69">
        <f>LARGE($E$2:$E$241,128)</f>
        <v>1.89E-3</v>
      </c>
      <c r="L129" s="59">
        <f t="shared" si="6"/>
        <v>189</v>
      </c>
      <c r="M129" s="90">
        <f t="shared" si="7"/>
        <v>0</v>
      </c>
      <c r="N129" s="37">
        <v>128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</row>
    <row r="130" spans="2:31" ht="17.25" thickTop="1" thickBot="1">
      <c r="B130">
        <f>wyniki!B157</f>
        <v>0</v>
      </c>
      <c r="C130" s="56">
        <f>wyniki!I157</f>
        <v>0</v>
      </c>
      <c r="D130" s="18">
        <v>1.2899999999999999E-3</v>
      </c>
      <c r="E130" s="56">
        <f t="shared" si="4"/>
        <v>1.2899999999999999E-3</v>
      </c>
      <c r="F130">
        <f>wyniki!$A$154</f>
        <v>0</v>
      </c>
      <c r="J130" s="79">
        <f t="shared" si="5"/>
        <v>0</v>
      </c>
      <c r="K130" s="69">
        <f>LARGE($E$2:$E$241,129)</f>
        <v>1.8799999999999999E-3</v>
      </c>
      <c r="L130" s="59">
        <f t="shared" si="6"/>
        <v>188</v>
      </c>
      <c r="M130" s="90">
        <f t="shared" si="7"/>
        <v>0</v>
      </c>
      <c r="N130" s="37">
        <v>129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</row>
    <row r="131" spans="2:31" ht="17.25" thickTop="1" thickBot="1">
      <c r="B131">
        <f>wyniki!B158</f>
        <v>0</v>
      </c>
      <c r="C131" s="56">
        <f>wyniki!I158</f>
        <v>0</v>
      </c>
      <c r="D131" s="18">
        <v>1.2999999999999999E-3</v>
      </c>
      <c r="E131" s="56">
        <f t="shared" ref="E131:E194" si="8">C131+D131</f>
        <v>1.2999999999999999E-3</v>
      </c>
      <c r="F131">
        <f>wyniki!$A$154</f>
        <v>0</v>
      </c>
      <c r="J131" s="79">
        <f t="shared" ref="J131:J194" si="9">INDEX($B$2:$E$241,L131,1)</f>
        <v>0</v>
      </c>
      <c r="K131" s="69">
        <f>LARGE($E$2:$E$241,130)</f>
        <v>1.8699999999999999E-3</v>
      </c>
      <c r="L131" s="59">
        <f t="shared" ref="L131:L194" si="10">MATCH(K131,$E$2:$E$241,0)</f>
        <v>187</v>
      </c>
      <c r="M131" s="90">
        <f t="shared" ref="M131:M194" si="11">INDEX($E$2:$F$241,L131,2)</f>
        <v>0</v>
      </c>
      <c r="N131" s="37">
        <v>130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</row>
    <row r="132" spans="2:31" ht="17.25" thickTop="1" thickBot="1">
      <c r="B132">
        <f>wyniki!B159</f>
        <v>0</v>
      </c>
      <c r="C132" s="56">
        <f>wyniki!I159</f>
        <v>0</v>
      </c>
      <c r="D132" s="18">
        <v>1.31E-3</v>
      </c>
      <c r="E132" s="56">
        <f t="shared" si="8"/>
        <v>1.31E-3</v>
      </c>
      <c r="F132">
        <f>wyniki!$A$154</f>
        <v>0</v>
      </c>
      <c r="J132" s="79">
        <f t="shared" si="9"/>
        <v>0</v>
      </c>
      <c r="K132" s="69">
        <f>LARGE($E$2:$E$241,131)</f>
        <v>1.8600000000000001E-3</v>
      </c>
      <c r="L132" s="59">
        <f t="shared" si="10"/>
        <v>186</v>
      </c>
      <c r="M132" s="90">
        <f t="shared" si="11"/>
        <v>0</v>
      </c>
      <c r="N132" s="37">
        <v>131</v>
      </c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</row>
    <row r="133" spans="2:31" ht="17.25" thickTop="1" thickBot="1">
      <c r="B133">
        <f>wyniki!B160</f>
        <v>0</v>
      </c>
      <c r="C133" s="56">
        <f>wyniki!I160</f>
        <v>0</v>
      </c>
      <c r="D133" s="18">
        <v>1.32E-3</v>
      </c>
      <c r="E133" s="56">
        <f t="shared" si="8"/>
        <v>1.32E-3</v>
      </c>
      <c r="F133">
        <f>wyniki!$A$154</f>
        <v>0</v>
      </c>
      <c r="J133" s="79">
        <f t="shared" si="9"/>
        <v>0</v>
      </c>
      <c r="K133" s="69">
        <f>LARGE($E$2:$E$241,132)</f>
        <v>1.8500000000000001E-3</v>
      </c>
      <c r="L133" s="59">
        <f t="shared" si="10"/>
        <v>185</v>
      </c>
      <c r="M133" s="90">
        <f t="shared" si="11"/>
        <v>0</v>
      </c>
      <c r="N133" s="37">
        <v>132</v>
      </c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</row>
    <row r="134" spans="2:31" ht="17.25" thickTop="1" thickBot="1">
      <c r="B134">
        <f>wyniki!B162</f>
        <v>0</v>
      </c>
      <c r="C134" s="56">
        <f>wyniki!I162</f>
        <v>0</v>
      </c>
      <c r="D134" s="18">
        <v>1.33E-3</v>
      </c>
      <c r="E134" s="56">
        <f t="shared" si="8"/>
        <v>1.33E-3</v>
      </c>
      <c r="F134">
        <f>wyniki!$A$161</f>
        <v>0</v>
      </c>
      <c r="J134" s="79">
        <f t="shared" si="9"/>
        <v>0</v>
      </c>
      <c r="K134" s="69">
        <f>LARGE($E$2:$E$241,133)</f>
        <v>1.8400000000000001E-3</v>
      </c>
      <c r="L134" s="59">
        <f t="shared" si="10"/>
        <v>184</v>
      </c>
      <c r="M134" s="90">
        <f t="shared" si="11"/>
        <v>0</v>
      </c>
      <c r="N134" s="37">
        <v>133</v>
      </c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</row>
    <row r="135" spans="2:31" ht="17.25" thickTop="1" thickBot="1">
      <c r="B135">
        <f>wyniki!B163</f>
        <v>0</v>
      </c>
      <c r="C135" s="56">
        <f>wyniki!I163</f>
        <v>0</v>
      </c>
      <c r="D135" s="18">
        <v>1.34E-3</v>
      </c>
      <c r="E135" s="56">
        <f t="shared" si="8"/>
        <v>1.34E-3</v>
      </c>
      <c r="F135">
        <f>wyniki!$A$161</f>
        <v>0</v>
      </c>
      <c r="J135" s="79">
        <f t="shared" si="9"/>
        <v>0</v>
      </c>
      <c r="K135" s="69">
        <f>LARGE($E$2:$E$241,134)</f>
        <v>1.83E-3</v>
      </c>
      <c r="L135" s="59">
        <f t="shared" si="10"/>
        <v>183</v>
      </c>
      <c r="M135" s="90">
        <f t="shared" si="11"/>
        <v>0</v>
      </c>
      <c r="N135" s="37">
        <v>134</v>
      </c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</row>
    <row r="136" spans="2:31" ht="17.25" thickTop="1" thickBot="1">
      <c r="B136">
        <f>wyniki!B164</f>
        <v>0</v>
      </c>
      <c r="C136" s="56">
        <f>wyniki!I164</f>
        <v>0</v>
      </c>
      <c r="D136" s="18">
        <v>1.3500000000000001E-3</v>
      </c>
      <c r="E136" s="56">
        <f t="shared" si="8"/>
        <v>1.3500000000000001E-3</v>
      </c>
      <c r="F136">
        <f>wyniki!$A$161</f>
        <v>0</v>
      </c>
      <c r="J136" s="79">
        <f t="shared" si="9"/>
        <v>0</v>
      </c>
      <c r="K136" s="69">
        <f>LARGE($E$2:$E$241,135)</f>
        <v>1.82E-3</v>
      </c>
      <c r="L136" s="59">
        <f t="shared" si="10"/>
        <v>182</v>
      </c>
      <c r="M136" s="90">
        <f t="shared" si="11"/>
        <v>0</v>
      </c>
      <c r="N136" s="37">
        <v>135</v>
      </c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</row>
    <row r="137" spans="2:31" ht="17.25" thickTop="1" thickBot="1">
      <c r="B137">
        <f>wyniki!B165</f>
        <v>0</v>
      </c>
      <c r="C137" s="56">
        <f>wyniki!I165</f>
        <v>0</v>
      </c>
      <c r="D137" s="18">
        <v>1.3600000000000001E-3</v>
      </c>
      <c r="E137" s="56">
        <f t="shared" si="8"/>
        <v>1.3600000000000001E-3</v>
      </c>
      <c r="F137">
        <f>wyniki!$A$161</f>
        <v>0</v>
      </c>
      <c r="J137" s="79">
        <f t="shared" si="9"/>
        <v>0</v>
      </c>
      <c r="K137" s="69">
        <f>LARGE($E$2:$E$241,136)</f>
        <v>1.81E-3</v>
      </c>
      <c r="L137" s="59">
        <f t="shared" si="10"/>
        <v>181</v>
      </c>
      <c r="M137" s="90">
        <f t="shared" si="11"/>
        <v>0</v>
      </c>
      <c r="N137" s="37">
        <v>136</v>
      </c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</row>
    <row r="138" spans="2:31" ht="17.25" thickTop="1" thickBot="1">
      <c r="B138">
        <f>wyniki!B166</f>
        <v>0</v>
      </c>
      <c r="C138" s="56">
        <f>wyniki!I166</f>
        <v>0</v>
      </c>
      <c r="D138" s="18">
        <v>1.3699999999999999E-3</v>
      </c>
      <c r="E138" s="56">
        <f t="shared" si="8"/>
        <v>1.3699999999999999E-3</v>
      </c>
      <c r="F138">
        <f>wyniki!$A$161</f>
        <v>0</v>
      </c>
      <c r="J138" s="79">
        <f t="shared" si="9"/>
        <v>0</v>
      </c>
      <c r="K138" s="69">
        <f>LARGE($E$2:$E$241,137)</f>
        <v>1.8E-3</v>
      </c>
      <c r="L138" s="59">
        <f t="shared" si="10"/>
        <v>180</v>
      </c>
      <c r="M138" s="90">
        <f t="shared" si="11"/>
        <v>0</v>
      </c>
      <c r="N138" s="37">
        <v>137</v>
      </c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</row>
    <row r="139" spans="2:31" ht="17.25" thickTop="1" thickBot="1">
      <c r="B139">
        <f>wyniki!B167</f>
        <v>0</v>
      </c>
      <c r="C139" s="56">
        <f>wyniki!I167</f>
        <v>0</v>
      </c>
      <c r="D139" s="18">
        <v>1.3799999999999999E-3</v>
      </c>
      <c r="E139" s="56">
        <f t="shared" si="8"/>
        <v>1.3799999999999999E-3</v>
      </c>
      <c r="F139">
        <f>wyniki!$A$161</f>
        <v>0</v>
      </c>
      <c r="J139" s="79">
        <f t="shared" si="9"/>
        <v>0</v>
      </c>
      <c r="K139" s="69">
        <f>LARGE($E$2:$E$241,138)</f>
        <v>1.7899999999999999E-3</v>
      </c>
      <c r="L139" s="59">
        <f t="shared" si="10"/>
        <v>179</v>
      </c>
      <c r="M139" s="90">
        <f t="shared" si="11"/>
        <v>0</v>
      </c>
      <c r="N139" s="37">
        <v>138</v>
      </c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</row>
    <row r="140" spans="2:31" ht="17.25" thickTop="1" thickBot="1">
      <c r="B140">
        <f>wyniki!B169</f>
        <v>0</v>
      </c>
      <c r="C140" s="56">
        <f>wyniki!I169</f>
        <v>0</v>
      </c>
      <c r="D140" s="18">
        <v>1.39E-3</v>
      </c>
      <c r="E140" s="56">
        <f t="shared" si="8"/>
        <v>1.39E-3</v>
      </c>
      <c r="F140">
        <f>wyniki!$A$168</f>
        <v>0</v>
      </c>
      <c r="J140" s="79">
        <f t="shared" si="9"/>
        <v>0</v>
      </c>
      <c r="K140" s="69">
        <f>LARGE($E$2:$E$241,139)</f>
        <v>1.7799999999999999E-3</v>
      </c>
      <c r="L140" s="59">
        <f t="shared" si="10"/>
        <v>178</v>
      </c>
      <c r="M140" s="90">
        <f t="shared" si="11"/>
        <v>0</v>
      </c>
      <c r="N140" s="37">
        <v>139</v>
      </c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</row>
    <row r="141" spans="2:31" ht="17.25" thickTop="1" thickBot="1">
      <c r="B141">
        <f>wyniki!B170</f>
        <v>0</v>
      </c>
      <c r="C141" s="56">
        <f>wyniki!I170</f>
        <v>0</v>
      </c>
      <c r="D141" s="18">
        <v>1.4E-3</v>
      </c>
      <c r="E141" s="56">
        <f t="shared" si="8"/>
        <v>1.4E-3</v>
      </c>
      <c r="F141">
        <f>wyniki!$A$168</f>
        <v>0</v>
      </c>
      <c r="J141" s="79">
        <f t="shared" si="9"/>
        <v>0</v>
      </c>
      <c r="K141" s="69">
        <f>LARGE($E$2:$E$241,140)</f>
        <v>1.7700000000000001E-3</v>
      </c>
      <c r="L141" s="59">
        <f t="shared" si="10"/>
        <v>177</v>
      </c>
      <c r="M141" s="90">
        <f t="shared" si="11"/>
        <v>0</v>
      </c>
      <c r="N141" s="37">
        <v>140</v>
      </c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</row>
    <row r="142" spans="2:31" ht="17.25" thickTop="1" thickBot="1">
      <c r="B142">
        <f>wyniki!B171</f>
        <v>0</v>
      </c>
      <c r="C142" s="56">
        <f>wyniki!I171</f>
        <v>0</v>
      </c>
      <c r="D142" s="18">
        <v>1.41E-3</v>
      </c>
      <c r="E142" s="56">
        <f t="shared" si="8"/>
        <v>1.41E-3</v>
      </c>
      <c r="F142">
        <f>wyniki!$A$168</f>
        <v>0</v>
      </c>
      <c r="J142" s="79">
        <f t="shared" si="9"/>
        <v>0</v>
      </c>
      <c r="K142" s="69">
        <f>LARGE($E$2:$E$241,141)</f>
        <v>1.7600000000000001E-3</v>
      </c>
      <c r="L142" s="59">
        <f t="shared" si="10"/>
        <v>176</v>
      </c>
      <c r="M142" s="90">
        <f t="shared" si="11"/>
        <v>0</v>
      </c>
      <c r="N142" s="37">
        <v>141</v>
      </c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</row>
    <row r="143" spans="2:31" ht="17.25" thickTop="1" thickBot="1">
      <c r="B143">
        <f>wyniki!B172</f>
        <v>0</v>
      </c>
      <c r="C143" s="56">
        <f>wyniki!I172</f>
        <v>0</v>
      </c>
      <c r="D143" s="18">
        <v>1.42E-3</v>
      </c>
      <c r="E143" s="56">
        <f t="shared" si="8"/>
        <v>1.42E-3</v>
      </c>
      <c r="F143">
        <f>wyniki!$A$168</f>
        <v>0</v>
      </c>
      <c r="J143" s="79">
        <f t="shared" si="9"/>
        <v>0</v>
      </c>
      <c r="K143" s="69">
        <f>LARGE($E$2:$E$241,142)</f>
        <v>1.75E-3</v>
      </c>
      <c r="L143" s="59">
        <f t="shared" si="10"/>
        <v>175</v>
      </c>
      <c r="M143" s="90">
        <f t="shared" si="11"/>
        <v>0</v>
      </c>
      <c r="N143" s="37">
        <v>142</v>
      </c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</row>
    <row r="144" spans="2:31" ht="17.25" thickTop="1" thickBot="1">
      <c r="B144">
        <f>wyniki!B173</f>
        <v>0</v>
      </c>
      <c r="C144" s="56">
        <f>wyniki!I173</f>
        <v>0</v>
      </c>
      <c r="D144" s="18">
        <v>1.4300000000000001E-3</v>
      </c>
      <c r="E144" s="56">
        <f t="shared" si="8"/>
        <v>1.4300000000000001E-3</v>
      </c>
      <c r="F144">
        <f>wyniki!$A$168</f>
        <v>0</v>
      </c>
      <c r="J144" s="79">
        <f t="shared" si="9"/>
        <v>0</v>
      </c>
      <c r="K144" s="69">
        <f>LARGE($E$2:$E$241,143)</f>
        <v>1.74E-3</v>
      </c>
      <c r="L144" s="59">
        <f t="shared" si="10"/>
        <v>174</v>
      </c>
      <c r="M144" s="90">
        <f t="shared" si="11"/>
        <v>0</v>
      </c>
      <c r="N144" s="37">
        <v>143</v>
      </c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</row>
    <row r="145" spans="2:31" ht="17.25" thickTop="1" thickBot="1">
      <c r="B145">
        <f>wyniki!B174</f>
        <v>0</v>
      </c>
      <c r="C145" s="56">
        <f>wyniki!I174</f>
        <v>0</v>
      </c>
      <c r="D145" s="18">
        <v>1.4400000000000001E-3</v>
      </c>
      <c r="E145" s="56">
        <f t="shared" si="8"/>
        <v>1.4400000000000001E-3</v>
      </c>
      <c r="F145">
        <f>wyniki!$A$168</f>
        <v>0</v>
      </c>
      <c r="J145" s="79">
        <f t="shared" si="9"/>
        <v>0</v>
      </c>
      <c r="K145" s="69">
        <f>LARGE($E$2:$E$241,144)</f>
        <v>1.73E-3</v>
      </c>
      <c r="L145" s="59">
        <f t="shared" si="10"/>
        <v>173</v>
      </c>
      <c r="M145" s="90">
        <f t="shared" si="11"/>
        <v>0</v>
      </c>
      <c r="N145" s="37">
        <v>144</v>
      </c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</row>
    <row r="146" spans="2:31" ht="17.25" thickTop="1" thickBot="1">
      <c r="B146">
        <f>wyniki!B176</f>
        <v>0</v>
      </c>
      <c r="C146" s="56">
        <f>wyniki!I176</f>
        <v>0</v>
      </c>
      <c r="D146" s="18">
        <v>1.4499999999999999E-3</v>
      </c>
      <c r="E146" s="56">
        <f t="shared" si="8"/>
        <v>1.4499999999999999E-3</v>
      </c>
      <c r="F146">
        <f>wyniki!$A$175</f>
        <v>0</v>
      </c>
      <c r="J146" s="79">
        <f t="shared" si="9"/>
        <v>0</v>
      </c>
      <c r="K146" s="69">
        <f>LARGE($E$2:$E$241,145)</f>
        <v>1.72E-3</v>
      </c>
      <c r="L146" s="59">
        <f t="shared" si="10"/>
        <v>172</v>
      </c>
      <c r="M146" s="90">
        <f t="shared" si="11"/>
        <v>0</v>
      </c>
      <c r="N146" s="37">
        <v>145</v>
      </c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</row>
    <row r="147" spans="2:31" ht="17.25" thickTop="1" thickBot="1">
      <c r="B147">
        <f>wyniki!B177</f>
        <v>0</v>
      </c>
      <c r="C147" s="56">
        <f>wyniki!I177</f>
        <v>0</v>
      </c>
      <c r="D147" s="18">
        <v>1.4599999999999999E-3</v>
      </c>
      <c r="E147" s="56">
        <f t="shared" si="8"/>
        <v>1.4599999999999999E-3</v>
      </c>
      <c r="F147">
        <f>wyniki!$A$175</f>
        <v>0</v>
      </c>
      <c r="J147" s="79">
        <f t="shared" si="9"/>
        <v>0</v>
      </c>
      <c r="K147" s="69">
        <f>LARGE($E$2:$E$241,146)</f>
        <v>1.7099999999999999E-3</v>
      </c>
      <c r="L147" s="59">
        <f t="shared" si="10"/>
        <v>171</v>
      </c>
      <c r="M147" s="90">
        <f t="shared" si="11"/>
        <v>0</v>
      </c>
      <c r="N147" s="37">
        <v>146</v>
      </c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</row>
    <row r="148" spans="2:31" ht="17.25" thickTop="1" thickBot="1">
      <c r="B148">
        <f>wyniki!B178</f>
        <v>0</v>
      </c>
      <c r="C148" s="56">
        <f>wyniki!I178</f>
        <v>0</v>
      </c>
      <c r="D148" s="18">
        <v>1.47E-3</v>
      </c>
      <c r="E148" s="56">
        <f t="shared" si="8"/>
        <v>1.47E-3</v>
      </c>
      <c r="F148">
        <f>wyniki!$A$175</f>
        <v>0</v>
      </c>
      <c r="J148" s="79">
        <f t="shared" si="9"/>
        <v>0</v>
      </c>
      <c r="K148" s="69">
        <f>LARGE($E$2:$E$241,147)</f>
        <v>1.6999999999999999E-3</v>
      </c>
      <c r="L148" s="59">
        <f t="shared" si="10"/>
        <v>170</v>
      </c>
      <c r="M148" s="90">
        <f t="shared" si="11"/>
        <v>0</v>
      </c>
      <c r="N148" s="37">
        <v>147</v>
      </c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</row>
    <row r="149" spans="2:31" ht="17.25" thickTop="1" thickBot="1">
      <c r="B149">
        <f>wyniki!B179</f>
        <v>0</v>
      </c>
      <c r="C149" s="56">
        <f>wyniki!I179</f>
        <v>0</v>
      </c>
      <c r="D149" s="18">
        <v>1.48E-3</v>
      </c>
      <c r="E149" s="56">
        <f t="shared" si="8"/>
        <v>1.48E-3</v>
      </c>
      <c r="F149">
        <f>wyniki!$A$175</f>
        <v>0</v>
      </c>
      <c r="J149" s="79">
        <f t="shared" si="9"/>
        <v>0</v>
      </c>
      <c r="K149" s="69">
        <f>LARGE($E$2:$E$241,148)</f>
        <v>1.6900000000000001E-3</v>
      </c>
      <c r="L149" s="59">
        <f t="shared" si="10"/>
        <v>169</v>
      </c>
      <c r="M149" s="90">
        <f t="shared" si="11"/>
        <v>0</v>
      </c>
      <c r="N149" s="37">
        <v>148</v>
      </c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</row>
    <row r="150" spans="2:31" ht="17.25" thickTop="1" thickBot="1">
      <c r="B150">
        <f>wyniki!B180</f>
        <v>0</v>
      </c>
      <c r="C150" s="56">
        <f>wyniki!I180</f>
        <v>0</v>
      </c>
      <c r="D150" s="18">
        <v>1.49E-3</v>
      </c>
      <c r="E150" s="56">
        <f t="shared" si="8"/>
        <v>1.49E-3</v>
      </c>
      <c r="F150">
        <f>wyniki!$A$175</f>
        <v>0</v>
      </c>
      <c r="J150" s="79">
        <f t="shared" si="9"/>
        <v>0</v>
      </c>
      <c r="K150" s="69">
        <f>LARGE($E$2:$E$241,149)</f>
        <v>1.6800000000000001E-3</v>
      </c>
      <c r="L150" s="59">
        <f t="shared" si="10"/>
        <v>168</v>
      </c>
      <c r="M150" s="90">
        <f t="shared" si="11"/>
        <v>0</v>
      </c>
      <c r="N150" s="37">
        <v>149</v>
      </c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</row>
    <row r="151" spans="2:31" ht="17.25" thickTop="1" thickBot="1">
      <c r="B151">
        <f>wyniki!B181</f>
        <v>0</v>
      </c>
      <c r="C151" s="56">
        <f>wyniki!I181</f>
        <v>0</v>
      </c>
      <c r="D151" s="18">
        <v>1.5E-3</v>
      </c>
      <c r="E151" s="56">
        <f t="shared" si="8"/>
        <v>1.5E-3</v>
      </c>
      <c r="F151">
        <f>wyniki!$A$175</f>
        <v>0</v>
      </c>
      <c r="J151" s="79">
        <f t="shared" si="9"/>
        <v>0</v>
      </c>
      <c r="K151" s="69">
        <f>LARGE($E$2:$E$241,150)</f>
        <v>1.67E-3</v>
      </c>
      <c r="L151" s="59">
        <f t="shared" si="10"/>
        <v>167</v>
      </c>
      <c r="M151" s="90">
        <f t="shared" si="11"/>
        <v>0</v>
      </c>
      <c r="N151" s="37">
        <v>150</v>
      </c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</row>
    <row r="152" spans="2:31" ht="17.25" thickTop="1" thickBot="1">
      <c r="B152">
        <f>wyniki!B183</f>
        <v>0</v>
      </c>
      <c r="C152" s="56">
        <f>wyniki!I183</f>
        <v>0</v>
      </c>
      <c r="D152" s="18">
        <v>1.5100000000000001E-3</v>
      </c>
      <c r="E152" s="56">
        <f t="shared" si="8"/>
        <v>1.5100000000000001E-3</v>
      </c>
      <c r="F152">
        <f>wyniki!$A$182</f>
        <v>0</v>
      </c>
      <c r="J152" s="79">
        <f t="shared" si="9"/>
        <v>0</v>
      </c>
      <c r="K152" s="69">
        <f>LARGE($E$2:$E$241,151)</f>
        <v>1.66E-3</v>
      </c>
      <c r="L152" s="59">
        <f t="shared" si="10"/>
        <v>166</v>
      </c>
      <c r="M152" s="90">
        <f t="shared" si="11"/>
        <v>0</v>
      </c>
      <c r="N152" s="37">
        <v>151</v>
      </c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</row>
    <row r="153" spans="2:31" ht="17.25" thickTop="1" thickBot="1">
      <c r="B153">
        <f>wyniki!B184</f>
        <v>0</v>
      </c>
      <c r="C153" s="56">
        <f>wyniki!I184</f>
        <v>0</v>
      </c>
      <c r="D153" s="18">
        <v>1.5200000000000001E-3</v>
      </c>
      <c r="E153" s="56">
        <f t="shared" si="8"/>
        <v>1.5200000000000001E-3</v>
      </c>
      <c r="F153">
        <f>wyniki!$A$182</f>
        <v>0</v>
      </c>
      <c r="J153" s="79">
        <f t="shared" si="9"/>
        <v>0</v>
      </c>
      <c r="K153" s="69">
        <f>LARGE($E$2:$E$241,152)</f>
        <v>1.65E-3</v>
      </c>
      <c r="L153" s="59">
        <f t="shared" si="10"/>
        <v>165</v>
      </c>
      <c r="M153" s="90">
        <f t="shared" si="11"/>
        <v>0</v>
      </c>
      <c r="N153" s="37">
        <v>152</v>
      </c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</row>
    <row r="154" spans="2:31" ht="17.25" thickTop="1" thickBot="1">
      <c r="B154">
        <f>wyniki!B185</f>
        <v>0</v>
      </c>
      <c r="C154" s="56">
        <f>wyniki!I185</f>
        <v>0</v>
      </c>
      <c r="D154" s="18">
        <v>1.5299999999999999E-3</v>
      </c>
      <c r="E154" s="56">
        <f t="shared" si="8"/>
        <v>1.5299999999999999E-3</v>
      </c>
      <c r="F154">
        <f>wyniki!$A$182</f>
        <v>0</v>
      </c>
      <c r="J154" s="79">
        <f t="shared" si="9"/>
        <v>0</v>
      </c>
      <c r="K154" s="69">
        <f>LARGE($E$2:$E$241,153)</f>
        <v>1.64E-3</v>
      </c>
      <c r="L154" s="59">
        <f t="shared" si="10"/>
        <v>164</v>
      </c>
      <c r="M154" s="90">
        <f t="shared" si="11"/>
        <v>0</v>
      </c>
      <c r="N154" s="37">
        <v>153</v>
      </c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</row>
    <row r="155" spans="2:31" ht="17.25" thickTop="1" thickBot="1">
      <c r="B155">
        <f>wyniki!B186</f>
        <v>0</v>
      </c>
      <c r="C155" s="56">
        <f>wyniki!I186</f>
        <v>0</v>
      </c>
      <c r="D155" s="18">
        <v>1.5399999999999999E-3</v>
      </c>
      <c r="E155" s="56">
        <f t="shared" si="8"/>
        <v>1.5399999999999999E-3</v>
      </c>
      <c r="F155">
        <f>wyniki!$A$182</f>
        <v>0</v>
      </c>
      <c r="J155" s="79">
        <f t="shared" si="9"/>
        <v>0</v>
      </c>
      <c r="K155" s="69">
        <f>LARGE($E$2:$E$241,154)</f>
        <v>1.6299999999999999E-3</v>
      </c>
      <c r="L155" s="59">
        <f t="shared" si="10"/>
        <v>163</v>
      </c>
      <c r="M155" s="90">
        <f t="shared" si="11"/>
        <v>0</v>
      </c>
      <c r="N155" s="37">
        <v>154</v>
      </c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</row>
    <row r="156" spans="2:31" ht="17.25" thickTop="1" thickBot="1">
      <c r="B156">
        <f>wyniki!B187</f>
        <v>0</v>
      </c>
      <c r="C156" s="56">
        <f>wyniki!I187</f>
        <v>0</v>
      </c>
      <c r="D156" s="18">
        <v>1.5499999999999999E-3</v>
      </c>
      <c r="E156" s="56">
        <f t="shared" si="8"/>
        <v>1.5499999999999999E-3</v>
      </c>
      <c r="F156">
        <f>wyniki!$A$182</f>
        <v>0</v>
      </c>
      <c r="J156" s="79">
        <f t="shared" si="9"/>
        <v>0</v>
      </c>
      <c r="K156" s="69">
        <f>LARGE($E$2:$E$241,155)</f>
        <v>1.6199999999999999E-3</v>
      </c>
      <c r="L156" s="59">
        <f t="shared" si="10"/>
        <v>162</v>
      </c>
      <c r="M156" s="90">
        <f t="shared" si="11"/>
        <v>0</v>
      </c>
      <c r="N156" s="37">
        <v>155</v>
      </c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</row>
    <row r="157" spans="2:31" ht="17.25" thickTop="1" thickBot="1">
      <c r="B157">
        <f>wyniki!B188</f>
        <v>0</v>
      </c>
      <c r="C157" s="56">
        <f>wyniki!I188</f>
        <v>0</v>
      </c>
      <c r="D157" s="18">
        <v>1.56E-3</v>
      </c>
      <c r="E157" s="56">
        <f t="shared" si="8"/>
        <v>1.56E-3</v>
      </c>
      <c r="F157">
        <f>wyniki!$A$182</f>
        <v>0</v>
      </c>
      <c r="J157" s="79">
        <f t="shared" si="9"/>
        <v>0</v>
      </c>
      <c r="K157" s="69">
        <f>LARGE($E$2:$E$241,156)</f>
        <v>1.6100000000000001E-3</v>
      </c>
      <c r="L157" s="59">
        <f t="shared" si="10"/>
        <v>161</v>
      </c>
      <c r="M157" s="90">
        <f t="shared" si="11"/>
        <v>0</v>
      </c>
      <c r="N157" s="37">
        <v>156</v>
      </c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</row>
    <row r="158" spans="2:31" ht="17.25" thickTop="1" thickBot="1">
      <c r="B158">
        <f>wyniki!B190</f>
        <v>0</v>
      </c>
      <c r="C158" s="56">
        <f>wyniki!I190</f>
        <v>0</v>
      </c>
      <c r="D158" s="18">
        <v>1.57E-3</v>
      </c>
      <c r="E158" s="56">
        <f t="shared" si="8"/>
        <v>1.57E-3</v>
      </c>
      <c r="F158">
        <f>wyniki!$A$189</f>
        <v>0</v>
      </c>
      <c r="J158" s="79">
        <f t="shared" si="9"/>
        <v>0</v>
      </c>
      <c r="K158" s="69">
        <f>LARGE($E$2:$E$241,157)</f>
        <v>1.6000000000000001E-3</v>
      </c>
      <c r="L158" s="59">
        <f t="shared" si="10"/>
        <v>160</v>
      </c>
      <c r="M158" s="90">
        <f t="shared" si="11"/>
        <v>0</v>
      </c>
      <c r="N158" s="37">
        <v>157</v>
      </c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</row>
    <row r="159" spans="2:31" ht="17.25" thickTop="1" thickBot="1">
      <c r="B159">
        <f>wyniki!B191</f>
        <v>0</v>
      </c>
      <c r="C159" s="56">
        <f>wyniki!I191</f>
        <v>0</v>
      </c>
      <c r="D159" s="18">
        <v>1.58E-3</v>
      </c>
      <c r="E159" s="56">
        <f t="shared" si="8"/>
        <v>1.58E-3</v>
      </c>
      <c r="F159">
        <f>wyniki!$A$189</f>
        <v>0</v>
      </c>
      <c r="J159" s="79">
        <f t="shared" si="9"/>
        <v>0</v>
      </c>
      <c r="K159" s="69">
        <f>LARGE($E$2:$E$241,158)</f>
        <v>1.5900000000000001E-3</v>
      </c>
      <c r="L159" s="59">
        <f t="shared" si="10"/>
        <v>159</v>
      </c>
      <c r="M159" s="90">
        <f t="shared" si="11"/>
        <v>0</v>
      </c>
      <c r="N159" s="37">
        <v>158</v>
      </c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</row>
    <row r="160" spans="2:31" ht="17.25" thickTop="1" thickBot="1">
      <c r="B160">
        <f>wyniki!B192</f>
        <v>0</v>
      </c>
      <c r="C160" s="56">
        <f>wyniki!I192</f>
        <v>0</v>
      </c>
      <c r="D160" s="18">
        <v>1.5900000000000001E-3</v>
      </c>
      <c r="E160" s="56">
        <f t="shared" si="8"/>
        <v>1.5900000000000001E-3</v>
      </c>
      <c r="F160">
        <f>wyniki!$A$189</f>
        <v>0</v>
      </c>
      <c r="J160" s="79">
        <f t="shared" si="9"/>
        <v>0</v>
      </c>
      <c r="K160" s="69">
        <f>LARGE($E$2:$E$241,159)</f>
        <v>1.58E-3</v>
      </c>
      <c r="L160" s="59">
        <f t="shared" si="10"/>
        <v>158</v>
      </c>
      <c r="M160" s="90">
        <f t="shared" si="11"/>
        <v>0</v>
      </c>
      <c r="N160" s="37">
        <v>159</v>
      </c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</row>
    <row r="161" spans="2:31" ht="17.25" thickTop="1" thickBot="1">
      <c r="B161">
        <f>wyniki!B193</f>
        <v>0</v>
      </c>
      <c r="C161" s="56">
        <f>wyniki!I193</f>
        <v>0</v>
      </c>
      <c r="D161" s="18">
        <v>1.6000000000000001E-3</v>
      </c>
      <c r="E161" s="56">
        <f t="shared" si="8"/>
        <v>1.6000000000000001E-3</v>
      </c>
      <c r="F161">
        <f>wyniki!$A$189</f>
        <v>0</v>
      </c>
      <c r="J161" s="79">
        <f t="shared" si="9"/>
        <v>0</v>
      </c>
      <c r="K161" s="69">
        <f>LARGE($E$2:$E$241,160)</f>
        <v>1.57E-3</v>
      </c>
      <c r="L161" s="59">
        <f t="shared" si="10"/>
        <v>157</v>
      </c>
      <c r="M161" s="90">
        <f t="shared" si="11"/>
        <v>0</v>
      </c>
      <c r="N161" s="37">
        <v>160</v>
      </c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</row>
    <row r="162" spans="2:31" ht="17.25" thickTop="1" thickBot="1">
      <c r="B162">
        <f>wyniki!B194</f>
        <v>0</v>
      </c>
      <c r="C162" s="56">
        <f>wyniki!I194</f>
        <v>0</v>
      </c>
      <c r="D162" s="18">
        <v>1.6100000000000001E-3</v>
      </c>
      <c r="E162" s="56">
        <f t="shared" si="8"/>
        <v>1.6100000000000001E-3</v>
      </c>
      <c r="F162">
        <f>wyniki!$A$189</f>
        <v>0</v>
      </c>
      <c r="J162" s="79">
        <f t="shared" si="9"/>
        <v>0</v>
      </c>
      <c r="K162" s="69">
        <f>LARGE($E$2:$E$241,161)</f>
        <v>1.56E-3</v>
      </c>
      <c r="L162" s="59">
        <f t="shared" si="10"/>
        <v>156</v>
      </c>
      <c r="M162" s="90">
        <f t="shared" si="11"/>
        <v>0</v>
      </c>
      <c r="N162" s="37">
        <v>161</v>
      </c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</row>
    <row r="163" spans="2:31" ht="17.25" thickTop="1" thickBot="1">
      <c r="B163">
        <f>wyniki!B195</f>
        <v>0</v>
      </c>
      <c r="C163" s="56">
        <f>wyniki!I195</f>
        <v>0</v>
      </c>
      <c r="D163" s="18">
        <v>1.6199999999999999E-3</v>
      </c>
      <c r="E163" s="56">
        <f t="shared" si="8"/>
        <v>1.6199999999999999E-3</v>
      </c>
      <c r="F163">
        <f>wyniki!$A$189</f>
        <v>0</v>
      </c>
      <c r="J163" s="79">
        <f t="shared" si="9"/>
        <v>0</v>
      </c>
      <c r="K163" s="69">
        <f>LARGE($E$2:$E$241,162)</f>
        <v>1.5499999999999999E-3</v>
      </c>
      <c r="L163" s="59">
        <f t="shared" si="10"/>
        <v>155</v>
      </c>
      <c r="M163" s="90">
        <f t="shared" si="11"/>
        <v>0</v>
      </c>
      <c r="N163" s="37">
        <v>162</v>
      </c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</row>
    <row r="164" spans="2:31" ht="17.25" thickTop="1" thickBot="1">
      <c r="B164">
        <f>wyniki!B197</f>
        <v>0</v>
      </c>
      <c r="C164" s="56">
        <f>wyniki!I197</f>
        <v>0</v>
      </c>
      <c r="D164" s="18">
        <v>1.6299999999999999E-3</v>
      </c>
      <c r="E164" s="56">
        <f t="shared" si="8"/>
        <v>1.6299999999999999E-3</v>
      </c>
      <c r="F164">
        <f>wyniki!$A$196</f>
        <v>0</v>
      </c>
      <c r="J164" s="79">
        <f t="shared" si="9"/>
        <v>0</v>
      </c>
      <c r="K164" s="69">
        <f>LARGE($E$2:$E$241,163)</f>
        <v>1.5399999999999999E-3</v>
      </c>
      <c r="L164" s="59">
        <f t="shared" si="10"/>
        <v>154</v>
      </c>
      <c r="M164" s="90">
        <f t="shared" si="11"/>
        <v>0</v>
      </c>
      <c r="N164" s="37">
        <v>163</v>
      </c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</row>
    <row r="165" spans="2:31" ht="17.25" thickTop="1" thickBot="1">
      <c r="B165">
        <f>wyniki!B198</f>
        <v>0</v>
      </c>
      <c r="C165" s="56">
        <f>wyniki!I198</f>
        <v>0</v>
      </c>
      <c r="D165" s="18">
        <v>1.64E-3</v>
      </c>
      <c r="E165" s="56">
        <f t="shared" si="8"/>
        <v>1.64E-3</v>
      </c>
      <c r="F165">
        <f>wyniki!$A$196</f>
        <v>0</v>
      </c>
      <c r="J165" s="79">
        <f t="shared" si="9"/>
        <v>0</v>
      </c>
      <c r="K165" s="69">
        <f>LARGE($E$2:$E$241,164)</f>
        <v>1.5299999999999999E-3</v>
      </c>
      <c r="L165" s="59">
        <f t="shared" si="10"/>
        <v>153</v>
      </c>
      <c r="M165" s="90">
        <f t="shared" si="11"/>
        <v>0</v>
      </c>
      <c r="N165" s="37">
        <v>164</v>
      </c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</row>
    <row r="166" spans="2:31" ht="17.25" thickTop="1" thickBot="1">
      <c r="B166">
        <f>wyniki!B199</f>
        <v>0</v>
      </c>
      <c r="C166" s="56">
        <f>wyniki!I199</f>
        <v>0</v>
      </c>
      <c r="D166" s="18">
        <v>1.65E-3</v>
      </c>
      <c r="E166" s="56">
        <f t="shared" si="8"/>
        <v>1.65E-3</v>
      </c>
      <c r="F166">
        <f>wyniki!$A$196</f>
        <v>0</v>
      </c>
      <c r="J166" s="79">
        <f t="shared" si="9"/>
        <v>0</v>
      </c>
      <c r="K166" s="69">
        <f>LARGE($E$2:$E$241,165)</f>
        <v>1.5200000000000001E-3</v>
      </c>
      <c r="L166" s="59">
        <f t="shared" si="10"/>
        <v>152</v>
      </c>
      <c r="M166" s="90">
        <f t="shared" si="11"/>
        <v>0</v>
      </c>
      <c r="N166" s="37">
        <v>165</v>
      </c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</row>
    <row r="167" spans="2:31" ht="17.25" thickTop="1" thickBot="1">
      <c r="B167">
        <f>wyniki!B200</f>
        <v>0</v>
      </c>
      <c r="C167" s="56">
        <f>wyniki!I200</f>
        <v>0</v>
      </c>
      <c r="D167" s="18">
        <v>1.66E-3</v>
      </c>
      <c r="E167" s="56">
        <f t="shared" si="8"/>
        <v>1.66E-3</v>
      </c>
      <c r="F167">
        <f>wyniki!$A$196</f>
        <v>0</v>
      </c>
      <c r="J167" s="79">
        <f t="shared" si="9"/>
        <v>0</v>
      </c>
      <c r="K167" s="69">
        <f>LARGE($E$2:$E$241,166)</f>
        <v>1.5100000000000001E-3</v>
      </c>
      <c r="L167" s="59">
        <f t="shared" si="10"/>
        <v>151</v>
      </c>
      <c r="M167" s="90">
        <f t="shared" si="11"/>
        <v>0</v>
      </c>
      <c r="N167" s="37">
        <v>166</v>
      </c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</row>
    <row r="168" spans="2:31" ht="17.25" thickTop="1" thickBot="1">
      <c r="B168">
        <f>wyniki!B201</f>
        <v>0</v>
      </c>
      <c r="C168" s="56">
        <f>wyniki!I201</f>
        <v>0</v>
      </c>
      <c r="D168" s="18">
        <v>1.67E-3</v>
      </c>
      <c r="E168" s="56">
        <f t="shared" si="8"/>
        <v>1.67E-3</v>
      </c>
      <c r="F168">
        <f>wyniki!$A$196</f>
        <v>0</v>
      </c>
      <c r="J168" s="79">
        <f t="shared" si="9"/>
        <v>0</v>
      </c>
      <c r="K168" s="69">
        <f>LARGE($E$2:$E$241,167)</f>
        <v>1.5E-3</v>
      </c>
      <c r="L168" s="59">
        <f t="shared" si="10"/>
        <v>150</v>
      </c>
      <c r="M168" s="90">
        <f t="shared" si="11"/>
        <v>0</v>
      </c>
      <c r="N168" s="37">
        <v>167</v>
      </c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</row>
    <row r="169" spans="2:31" ht="17.25" thickTop="1" thickBot="1">
      <c r="B169">
        <f>wyniki!B202</f>
        <v>0</v>
      </c>
      <c r="C169" s="56">
        <f>wyniki!I202</f>
        <v>0</v>
      </c>
      <c r="D169" s="18">
        <v>1.6800000000000001E-3</v>
      </c>
      <c r="E169" s="56">
        <f t="shared" si="8"/>
        <v>1.6800000000000001E-3</v>
      </c>
      <c r="F169">
        <f>wyniki!$A$196</f>
        <v>0</v>
      </c>
      <c r="J169" s="79">
        <f t="shared" si="9"/>
        <v>0</v>
      </c>
      <c r="K169" s="69">
        <f>LARGE($E$2:$E$241,168)</f>
        <v>1.49E-3</v>
      </c>
      <c r="L169" s="59">
        <f t="shared" si="10"/>
        <v>149</v>
      </c>
      <c r="M169" s="90">
        <f t="shared" si="11"/>
        <v>0</v>
      </c>
      <c r="N169" s="37">
        <v>168</v>
      </c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</row>
    <row r="170" spans="2:31" ht="17.25" thickTop="1" thickBot="1">
      <c r="B170">
        <f>wyniki!B204</f>
        <v>0</v>
      </c>
      <c r="C170" s="56">
        <f>wyniki!I204</f>
        <v>0</v>
      </c>
      <c r="D170" s="18">
        <v>1.6900000000000001E-3</v>
      </c>
      <c r="E170" s="56">
        <f t="shared" si="8"/>
        <v>1.6900000000000001E-3</v>
      </c>
      <c r="F170">
        <f>wyniki!$A$203</f>
        <v>0</v>
      </c>
      <c r="J170" s="79">
        <f t="shared" si="9"/>
        <v>0</v>
      </c>
      <c r="K170" s="69">
        <f>LARGE($E$2:$E$241,169)</f>
        <v>1.48E-3</v>
      </c>
      <c r="L170" s="59">
        <f t="shared" si="10"/>
        <v>148</v>
      </c>
      <c r="M170" s="90">
        <f t="shared" si="11"/>
        <v>0</v>
      </c>
      <c r="N170" s="37">
        <v>169</v>
      </c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</row>
    <row r="171" spans="2:31" ht="17.25" thickTop="1" thickBot="1">
      <c r="B171">
        <f>wyniki!B205</f>
        <v>0</v>
      </c>
      <c r="C171" s="56">
        <f>wyniki!I205</f>
        <v>0</v>
      </c>
      <c r="D171" s="18">
        <v>1.6999999999999999E-3</v>
      </c>
      <c r="E171" s="56">
        <f t="shared" si="8"/>
        <v>1.6999999999999999E-3</v>
      </c>
      <c r="F171">
        <f>wyniki!$A$203</f>
        <v>0</v>
      </c>
      <c r="J171" s="79">
        <f t="shared" si="9"/>
        <v>0</v>
      </c>
      <c r="K171" s="69">
        <f>LARGE($E$2:$E$241,170)</f>
        <v>1.47E-3</v>
      </c>
      <c r="L171" s="59">
        <f t="shared" si="10"/>
        <v>147</v>
      </c>
      <c r="M171" s="90">
        <f t="shared" si="11"/>
        <v>0</v>
      </c>
      <c r="N171" s="37">
        <v>170</v>
      </c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</row>
    <row r="172" spans="2:31" ht="17.25" thickTop="1" thickBot="1">
      <c r="B172">
        <f>wyniki!B206</f>
        <v>0</v>
      </c>
      <c r="C172" s="56">
        <f>wyniki!I206</f>
        <v>0</v>
      </c>
      <c r="D172" s="18">
        <v>1.7099999999999999E-3</v>
      </c>
      <c r="E172" s="56">
        <f t="shared" si="8"/>
        <v>1.7099999999999999E-3</v>
      </c>
      <c r="F172">
        <f>wyniki!$A$203</f>
        <v>0</v>
      </c>
      <c r="J172" s="79">
        <f t="shared" si="9"/>
        <v>0</v>
      </c>
      <c r="K172" s="69">
        <f>LARGE($E$2:$E$241,171)</f>
        <v>1.4599999999999999E-3</v>
      </c>
      <c r="L172" s="59">
        <f t="shared" si="10"/>
        <v>146</v>
      </c>
      <c r="M172" s="90">
        <f t="shared" si="11"/>
        <v>0</v>
      </c>
      <c r="N172" s="37">
        <v>171</v>
      </c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</row>
    <row r="173" spans="2:31" ht="17.25" thickTop="1" thickBot="1">
      <c r="B173">
        <f>wyniki!B207</f>
        <v>0</v>
      </c>
      <c r="C173" s="56">
        <f>wyniki!I207</f>
        <v>0</v>
      </c>
      <c r="D173" s="18">
        <v>1.72E-3</v>
      </c>
      <c r="E173" s="56">
        <f t="shared" si="8"/>
        <v>1.72E-3</v>
      </c>
      <c r="F173">
        <f>wyniki!$A$203</f>
        <v>0</v>
      </c>
      <c r="J173" s="79">
        <f t="shared" si="9"/>
        <v>0</v>
      </c>
      <c r="K173" s="69">
        <f>LARGE($E$2:$E$241,172)</f>
        <v>1.4499999999999999E-3</v>
      </c>
      <c r="L173" s="59">
        <f t="shared" si="10"/>
        <v>145</v>
      </c>
      <c r="M173" s="90">
        <f t="shared" si="11"/>
        <v>0</v>
      </c>
      <c r="N173" s="37">
        <v>172</v>
      </c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</row>
    <row r="174" spans="2:31" ht="17.25" thickTop="1" thickBot="1">
      <c r="B174">
        <f>wyniki!B208</f>
        <v>0</v>
      </c>
      <c r="C174" s="56">
        <f>wyniki!I208</f>
        <v>0</v>
      </c>
      <c r="D174" s="18">
        <v>1.73E-3</v>
      </c>
      <c r="E174" s="56">
        <f t="shared" si="8"/>
        <v>1.73E-3</v>
      </c>
      <c r="F174">
        <f>wyniki!$A$203</f>
        <v>0</v>
      </c>
      <c r="J174" s="79">
        <f t="shared" si="9"/>
        <v>0</v>
      </c>
      <c r="K174" s="69">
        <f>LARGE($E$2:$E$241,173)</f>
        <v>1.4400000000000001E-3</v>
      </c>
      <c r="L174" s="59">
        <f t="shared" si="10"/>
        <v>144</v>
      </c>
      <c r="M174" s="90">
        <f t="shared" si="11"/>
        <v>0</v>
      </c>
      <c r="N174" s="37">
        <v>173</v>
      </c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</row>
    <row r="175" spans="2:31" ht="17.25" thickTop="1" thickBot="1">
      <c r="B175">
        <f>wyniki!B209</f>
        <v>0</v>
      </c>
      <c r="C175" s="56">
        <f>wyniki!I209</f>
        <v>0</v>
      </c>
      <c r="D175" s="18">
        <v>1.74E-3</v>
      </c>
      <c r="E175" s="56">
        <f t="shared" si="8"/>
        <v>1.74E-3</v>
      </c>
      <c r="F175">
        <f>wyniki!$A$203</f>
        <v>0</v>
      </c>
      <c r="J175" s="79">
        <f t="shared" si="9"/>
        <v>0</v>
      </c>
      <c r="K175" s="69">
        <f>LARGE($E$2:$E$241,174)</f>
        <v>1.4300000000000001E-3</v>
      </c>
      <c r="L175" s="59">
        <f t="shared" si="10"/>
        <v>143</v>
      </c>
      <c r="M175" s="90">
        <f t="shared" si="11"/>
        <v>0</v>
      </c>
      <c r="N175" s="37">
        <v>174</v>
      </c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</row>
    <row r="176" spans="2:31" ht="17.25" thickTop="1" thickBot="1">
      <c r="B176">
        <f>wyniki!B211</f>
        <v>0</v>
      </c>
      <c r="C176" s="56">
        <f>wyniki!I211</f>
        <v>0</v>
      </c>
      <c r="D176" s="18">
        <v>1.75E-3</v>
      </c>
      <c r="E176" s="56">
        <f t="shared" si="8"/>
        <v>1.75E-3</v>
      </c>
      <c r="F176">
        <f>wyniki!$A$210</f>
        <v>0</v>
      </c>
      <c r="J176" s="79">
        <f t="shared" si="9"/>
        <v>0</v>
      </c>
      <c r="K176" s="69">
        <f>LARGE($E$2:$E$241,175)</f>
        <v>1.42E-3</v>
      </c>
      <c r="L176" s="59">
        <f t="shared" si="10"/>
        <v>142</v>
      </c>
      <c r="M176" s="90">
        <f t="shared" si="11"/>
        <v>0</v>
      </c>
      <c r="N176" s="37">
        <v>175</v>
      </c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</row>
    <row r="177" spans="2:31" ht="17.25" thickTop="1" thickBot="1">
      <c r="B177">
        <f>wyniki!B212</f>
        <v>0</v>
      </c>
      <c r="C177" s="56">
        <f>wyniki!I212</f>
        <v>0</v>
      </c>
      <c r="D177" s="18">
        <v>1.7600000000000001E-3</v>
      </c>
      <c r="E177" s="56">
        <f t="shared" si="8"/>
        <v>1.7600000000000001E-3</v>
      </c>
      <c r="F177">
        <f>wyniki!$A$210</f>
        <v>0</v>
      </c>
      <c r="J177" s="79">
        <f t="shared" si="9"/>
        <v>0</v>
      </c>
      <c r="K177" s="69">
        <f>LARGE($E$2:$E$241,176)</f>
        <v>1.41E-3</v>
      </c>
      <c r="L177" s="59">
        <f t="shared" si="10"/>
        <v>141</v>
      </c>
      <c r="M177" s="90">
        <f t="shared" si="11"/>
        <v>0</v>
      </c>
      <c r="N177" s="37">
        <v>176</v>
      </c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</row>
    <row r="178" spans="2:31" ht="17.25" thickTop="1" thickBot="1">
      <c r="B178">
        <f>wyniki!B213</f>
        <v>0</v>
      </c>
      <c r="C178" s="56">
        <f>wyniki!I213</f>
        <v>0</v>
      </c>
      <c r="D178" s="18">
        <v>1.7700000000000001E-3</v>
      </c>
      <c r="E178" s="56">
        <f t="shared" si="8"/>
        <v>1.7700000000000001E-3</v>
      </c>
      <c r="F178">
        <f>wyniki!$A$210</f>
        <v>0</v>
      </c>
      <c r="J178" s="79">
        <f t="shared" si="9"/>
        <v>0</v>
      </c>
      <c r="K178" s="69">
        <f>LARGE($E$2:$E$241,177)</f>
        <v>1.4E-3</v>
      </c>
      <c r="L178" s="59">
        <f t="shared" si="10"/>
        <v>140</v>
      </c>
      <c r="M178" s="90">
        <f t="shared" si="11"/>
        <v>0</v>
      </c>
      <c r="N178" s="37">
        <v>177</v>
      </c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</row>
    <row r="179" spans="2:31" ht="17.25" thickTop="1" thickBot="1">
      <c r="B179">
        <f>wyniki!B214</f>
        <v>0</v>
      </c>
      <c r="C179" s="56">
        <f>wyniki!I214</f>
        <v>0</v>
      </c>
      <c r="D179" s="18">
        <v>1.7799999999999999E-3</v>
      </c>
      <c r="E179" s="56">
        <f t="shared" si="8"/>
        <v>1.7799999999999999E-3</v>
      </c>
      <c r="F179">
        <f>wyniki!$A$210</f>
        <v>0</v>
      </c>
      <c r="J179" s="79">
        <f t="shared" si="9"/>
        <v>0</v>
      </c>
      <c r="K179" s="69">
        <f>LARGE($E$2:$E$241,178)</f>
        <v>1.39E-3</v>
      </c>
      <c r="L179" s="59">
        <f t="shared" si="10"/>
        <v>139</v>
      </c>
      <c r="M179" s="90">
        <f t="shared" si="11"/>
        <v>0</v>
      </c>
      <c r="N179" s="37">
        <v>178</v>
      </c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</row>
    <row r="180" spans="2:31" ht="17.25" thickTop="1" thickBot="1">
      <c r="B180">
        <f>wyniki!B215</f>
        <v>0</v>
      </c>
      <c r="C180" s="56">
        <f>wyniki!I215</f>
        <v>0</v>
      </c>
      <c r="D180" s="18">
        <v>1.7899999999999999E-3</v>
      </c>
      <c r="E180" s="56">
        <f t="shared" si="8"/>
        <v>1.7899999999999999E-3</v>
      </c>
      <c r="F180">
        <f>wyniki!$A$210</f>
        <v>0</v>
      </c>
      <c r="J180" s="79">
        <f t="shared" si="9"/>
        <v>0</v>
      </c>
      <c r="K180" s="69">
        <f>LARGE($E$2:$E$241,179)</f>
        <v>1.3799999999999999E-3</v>
      </c>
      <c r="L180" s="59">
        <f t="shared" si="10"/>
        <v>138</v>
      </c>
      <c r="M180" s="90">
        <f t="shared" si="11"/>
        <v>0</v>
      </c>
      <c r="N180" s="37">
        <v>179</v>
      </c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</row>
    <row r="181" spans="2:31" ht="17.25" thickTop="1" thickBot="1">
      <c r="B181">
        <f>wyniki!B216</f>
        <v>0</v>
      </c>
      <c r="C181" s="56">
        <f>wyniki!I216</f>
        <v>0</v>
      </c>
      <c r="D181" s="18">
        <v>1.8E-3</v>
      </c>
      <c r="E181" s="56">
        <f t="shared" si="8"/>
        <v>1.8E-3</v>
      </c>
      <c r="F181">
        <f>wyniki!$A$210</f>
        <v>0</v>
      </c>
      <c r="J181" s="79">
        <f t="shared" si="9"/>
        <v>0</v>
      </c>
      <c r="K181" s="69">
        <f>LARGE($E$2:$E$241,180)</f>
        <v>1.3699999999999999E-3</v>
      </c>
      <c r="L181" s="59">
        <f t="shared" si="10"/>
        <v>137</v>
      </c>
      <c r="M181" s="90">
        <f t="shared" si="11"/>
        <v>0</v>
      </c>
      <c r="N181" s="37">
        <v>180</v>
      </c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</row>
    <row r="182" spans="2:31" ht="17.25" thickTop="1" thickBot="1">
      <c r="B182">
        <f>wyniki!B218</f>
        <v>0</v>
      </c>
      <c r="C182" s="56">
        <f>wyniki!I218</f>
        <v>0</v>
      </c>
      <c r="D182" s="18">
        <v>1.81E-3</v>
      </c>
      <c r="E182" s="56">
        <f t="shared" si="8"/>
        <v>1.81E-3</v>
      </c>
      <c r="F182">
        <f>wyniki!$A$217</f>
        <v>0</v>
      </c>
      <c r="J182" s="79">
        <f t="shared" si="9"/>
        <v>0</v>
      </c>
      <c r="K182" s="69">
        <f>LARGE($E$2:$E$241,181)</f>
        <v>1.3600000000000001E-3</v>
      </c>
      <c r="L182" s="59">
        <f t="shared" si="10"/>
        <v>136</v>
      </c>
      <c r="M182" s="90">
        <f t="shared" si="11"/>
        <v>0</v>
      </c>
      <c r="N182" s="37">
        <v>181</v>
      </c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</row>
    <row r="183" spans="2:31" ht="17.25" thickTop="1" thickBot="1">
      <c r="B183">
        <f>wyniki!B219</f>
        <v>0</v>
      </c>
      <c r="C183" s="56">
        <f>wyniki!I219</f>
        <v>0</v>
      </c>
      <c r="D183" s="18">
        <v>1.82E-3</v>
      </c>
      <c r="E183" s="56">
        <f t="shared" si="8"/>
        <v>1.82E-3</v>
      </c>
      <c r="F183">
        <f>wyniki!$A$217</f>
        <v>0</v>
      </c>
      <c r="J183" s="79">
        <f t="shared" si="9"/>
        <v>0</v>
      </c>
      <c r="K183" s="69">
        <f>LARGE($E$2:$E$241,182)</f>
        <v>1.3500000000000001E-3</v>
      </c>
      <c r="L183" s="59">
        <f t="shared" si="10"/>
        <v>135</v>
      </c>
      <c r="M183" s="90">
        <f t="shared" si="11"/>
        <v>0</v>
      </c>
      <c r="N183" s="37">
        <v>182</v>
      </c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</row>
    <row r="184" spans="2:31" ht="17.25" thickTop="1" thickBot="1">
      <c r="B184">
        <f>wyniki!B220</f>
        <v>0</v>
      </c>
      <c r="C184" s="56">
        <f>wyniki!I220</f>
        <v>0</v>
      </c>
      <c r="D184" s="18">
        <v>1.83E-3</v>
      </c>
      <c r="E184" s="56">
        <f t="shared" si="8"/>
        <v>1.83E-3</v>
      </c>
      <c r="F184">
        <f>wyniki!$A$217</f>
        <v>0</v>
      </c>
      <c r="J184" s="79">
        <f t="shared" si="9"/>
        <v>0</v>
      </c>
      <c r="K184" s="69">
        <f>LARGE($E$2:$E$241,183)</f>
        <v>1.34E-3</v>
      </c>
      <c r="L184" s="59">
        <f t="shared" si="10"/>
        <v>134</v>
      </c>
      <c r="M184" s="90">
        <f t="shared" si="11"/>
        <v>0</v>
      </c>
      <c r="N184" s="37">
        <v>183</v>
      </c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</row>
    <row r="185" spans="2:31" ht="17.25" thickTop="1" thickBot="1">
      <c r="B185">
        <f>wyniki!B221</f>
        <v>0</v>
      </c>
      <c r="C185" s="56">
        <f>wyniki!I221</f>
        <v>0</v>
      </c>
      <c r="D185" s="18">
        <v>1.8400000000000001E-3</v>
      </c>
      <c r="E185" s="56">
        <f t="shared" si="8"/>
        <v>1.8400000000000001E-3</v>
      </c>
      <c r="F185">
        <f>wyniki!$A$217</f>
        <v>0</v>
      </c>
      <c r="J185" s="79">
        <f t="shared" si="9"/>
        <v>0</v>
      </c>
      <c r="K185" s="69">
        <f>LARGE($E$2:$E$241,184)</f>
        <v>1.33E-3</v>
      </c>
      <c r="L185" s="59">
        <f t="shared" si="10"/>
        <v>133</v>
      </c>
      <c r="M185" s="90">
        <f t="shared" si="11"/>
        <v>0</v>
      </c>
      <c r="N185" s="37">
        <v>184</v>
      </c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</row>
    <row r="186" spans="2:31" ht="17.25" thickTop="1" thickBot="1">
      <c r="B186">
        <f>wyniki!B222</f>
        <v>0</v>
      </c>
      <c r="C186" s="56">
        <f>wyniki!I222</f>
        <v>0</v>
      </c>
      <c r="D186" s="18">
        <v>1.8500000000000001E-3</v>
      </c>
      <c r="E186" s="56">
        <f t="shared" si="8"/>
        <v>1.8500000000000001E-3</v>
      </c>
      <c r="F186">
        <f>wyniki!$A$217</f>
        <v>0</v>
      </c>
      <c r="J186" s="79">
        <f t="shared" si="9"/>
        <v>0</v>
      </c>
      <c r="K186" s="69">
        <f>LARGE($E$2:$E$241,185)</f>
        <v>1.32E-3</v>
      </c>
      <c r="L186" s="59">
        <f t="shared" si="10"/>
        <v>132</v>
      </c>
      <c r="M186" s="90">
        <f t="shared" si="11"/>
        <v>0</v>
      </c>
      <c r="N186" s="37">
        <v>185</v>
      </c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</row>
    <row r="187" spans="2:31" ht="17.25" thickTop="1" thickBot="1">
      <c r="B187">
        <f>wyniki!B223</f>
        <v>0</v>
      </c>
      <c r="C187" s="56">
        <f>wyniki!I223</f>
        <v>0</v>
      </c>
      <c r="D187" s="18">
        <v>1.8600000000000001E-3</v>
      </c>
      <c r="E187" s="56">
        <f t="shared" si="8"/>
        <v>1.8600000000000001E-3</v>
      </c>
      <c r="F187">
        <f>wyniki!$A$217</f>
        <v>0</v>
      </c>
      <c r="J187" s="79">
        <f t="shared" si="9"/>
        <v>0</v>
      </c>
      <c r="K187" s="69">
        <f>LARGE($E$2:$E$241,186)</f>
        <v>1.31E-3</v>
      </c>
      <c r="L187" s="59">
        <f t="shared" si="10"/>
        <v>131</v>
      </c>
      <c r="M187" s="90">
        <f t="shared" si="11"/>
        <v>0</v>
      </c>
      <c r="N187" s="37">
        <v>186</v>
      </c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</row>
    <row r="188" spans="2:31" ht="17.25" thickTop="1" thickBot="1">
      <c r="B188">
        <f>wyniki!B225</f>
        <v>0</v>
      </c>
      <c r="C188" s="56">
        <f>wyniki!I225</f>
        <v>0</v>
      </c>
      <c r="D188" s="18">
        <v>1.8699999999999999E-3</v>
      </c>
      <c r="E188" s="56">
        <f t="shared" si="8"/>
        <v>1.8699999999999999E-3</v>
      </c>
      <c r="F188">
        <f>wyniki!$A$224</f>
        <v>0</v>
      </c>
      <c r="J188" s="79">
        <f t="shared" si="9"/>
        <v>0</v>
      </c>
      <c r="K188" s="69">
        <f>LARGE($E$2:$E$241,187)</f>
        <v>1.2999999999999999E-3</v>
      </c>
      <c r="L188" s="59">
        <f t="shared" si="10"/>
        <v>130</v>
      </c>
      <c r="M188" s="90">
        <f t="shared" si="11"/>
        <v>0</v>
      </c>
      <c r="N188" s="37">
        <v>187</v>
      </c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</row>
    <row r="189" spans="2:31" ht="17.25" thickTop="1" thickBot="1">
      <c r="B189">
        <f>wyniki!B226</f>
        <v>0</v>
      </c>
      <c r="C189" s="56">
        <f>wyniki!I226</f>
        <v>0</v>
      </c>
      <c r="D189" s="18">
        <v>1.8799999999999999E-3</v>
      </c>
      <c r="E189" s="56">
        <f t="shared" si="8"/>
        <v>1.8799999999999999E-3</v>
      </c>
      <c r="F189">
        <f>wyniki!$A$224</f>
        <v>0</v>
      </c>
      <c r="J189" s="79">
        <f t="shared" si="9"/>
        <v>0</v>
      </c>
      <c r="K189" s="69">
        <f>LARGE($E$2:$E$241,188)</f>
        <v>1.2899999999999999E-3</v>
      </c>
      <c r="L189" s="59">
        <f t="shared" si="10"/>
        <v>129</v>
      </c>
      <c r="M189" s="90">
        <f t="shared" si="11"/>
        <v>0</v>
      </c>
      <c r="N189" s="37">
        <v>188</v>
      </c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</row>
    <row r="190" spans="2:31" ht="17.25" thickTop="1" thickBot="1">
      <c r="B190">
        <f>wyniki!B227</f>
        <v>0</v>
      </c>
      <c r="C190" s="56">
        <f>wyniki!I227</f>
        <v>0</v>
      </c>
      <c r="D190" s="18">
        <v>1.89E-3</v>
      </c>
      <c r="E190" s="56">
        <f t="shared" si="8"/>
        <v>1.89E-3</v>
      </c>
      <c r="F190">
        <f>wyniki!$A$224</f>
        <v>0</v>
      </c>
      <c r="J190" s="79">
        <f t="shared" si="9"/>
        <v>0</v>
      </c>
      <c r="K190" s="69">
        <f>LARGE($E$2:$E$241,189)</f>
        <v>1.2800000000000001E-3</v>
      </c>
      <c r="L190" s="59">
        <f t="shared" si="10"/>
        <v>128</v>
      </c>
      <c r="M190" s="90">
        <f t="shared" si="11"/>
        <v>0</v>
      </c>
      <c r="N190" s="37">
        <v>189</v>
      </c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</row>
    <row r="191" spans="2:31" ht="17.25" thickTop="1" thickBot="1">
      <c r="B191">
        <f>wyniki!B228</f>
        <v>0</v>
      </c>
      <c r="C191" s="56">
        <f>wyniki!I228</f>
        <v>0</v>
      </c>
      <c r="D191" s="18">
        <v>1.9E-3</v>
      </c>
      <c r="E191" s="56">
        <f t="shared" si="8"/>
        <v>1.9E-3</v>
      </c>
      <c r="F191">
        <f>wyniki!$A$224</f>
        <v>0</v>
      </c>
      <c r="J191" s="79">
        <f t="shared" si="9"/>
        <v>0</v>
      </c>
      <c r="K191" s="69">
        <f>LARGE($E$2:$E$241,190)</f>
        <v>1.2700000000000001E-3</v>
      </c>
      <c r="L191" s="59">
        <f t="shared" si="10"/>
        <v>127</v>
      </c>
      <c r="M191" s="90">
        <f t="shared" si="11"/>
        <v>0</v>
      </c>
      <c r="N191" s="37">
        <v>190</v>
      </c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</row>
    <row r="192" spans="2:31" ht="17.25" thickTop="1" thickBot="1">
      <c r="B192">
        <f>wyniki!B229</f>
        <v>0</v>
      </c>
      <c r="C192" s="56">
        <f>wyniki!I229</f>
        <v>0</v>
      </c>
      <c r="D192" s="18">
        <v>1.91E-3</v>
      </c>
      <c r="E192" s="56">
        <f t="shared" si="8"/>
        <v>1.91E-3</v>
      </c>
      <c r="F192">
        <f>wyniki!$A$224</f>
        <v>0</v>
      </c>
      <c r="J192" s="79">
        <f t="shared" si="9"/>
        <v>0</v>
      </c>
      <c r="K192" s="69">
        <f>LARGE($E$2:$E$241,191)</f>
        <v>1.2600000000000001E-3</v>
      </c>
      <c r="L192" s="59">
        <f t="shared" si="10"/>
        <v>126</v>
      </c>
      <c r="M192" s="90">
        <f t="shared" si="11"/>
        <v>0</v>
      </c>
      <c r="N192" s="37">
        <v>191</v>
      </c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</row>
    <row r="193" spans="2:31" ht="17.25" thickTop="1" thickBot="1">
      <c r="B193">
        <f>wyniki!B230</f>
        <v>0</v>
      </c>
      <c r="C193" s="56">
        <f>wyniki!I230</f>
        <v>0</v>
      </c>
      <c r="D193" s="18">
        <v>1.92E-3</v>
      </c>
      <c r="E193" s="56">
        <f t="shared" si="8"/>
        <v>1.92E-3</v>
      </c>
      <c r="F193">
        <f>wyniki!$A$224</f>
        <v>0</v>
      </c>
      <c r="J193" s="79">
        <f t="shared" si="9"/>
        <v>0</v>
      </c>
      <c r="K193" s="69">
        <f>LARGE($E$2:$E$241,192)</f>
        <v>1.25E-3</v>
      </c>
      <c r="L193" s="59">
        <f t="shared" si="10"/>
        <v>125</v>
      </c>
      <c r="M193" s="90">
        <f t="shared" si="11"/>
        <v>0</v>
      </c>
      <c r="N193" s="37">
        <v>192</v>
      </c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</row>
    <row r="194" spans="2:31" ht="17.25" thickTop="1" thickBot="1">
      <c r="B194">
        <f>wyniki!B232</f>
        <v>0</v>
      </c>
      <c r="C194" s="56">
        <f>wyniki!I232</f>
        <v>0</v>
      </c>
      <c r="D194" s="18">
        <v>1.9300000000000001E-3</v>
      </c>
      <c r="E194" s="56">
        <f t="shared" si="8"/>
        <v>1.9300000000000001E-3</v>
      </c>
      <c r="F194">
        <f>wyniki!$A$231</f>
        <v>0</v>
      </c>
      <c r="J194" s="79">
        <f t="shared" si="9"/>
        <v>0</v>
      </c>
      <c r="K194" s="69">
        <f>LARGE($E$2:$E$241,193)</f>
        <v>1.24E-3</v>
      </c>
      <c r="L194" s="59">
        <f t="shared" si="10"/>
        <v>124</v>
      </c>
      <c r="M194" s="90">
        <f t="shared" si="11"/>
        <v>0</v>
      </c>
      <c r="N194" s="37">
        <v>193</v>
      </c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</row>
    <row r="195" spans="2:31" ht="17.25" thickTop="1" thickBot="1">
      <c r="B195">
        <f>wyniki!B233</f>
        <v>0</v>
      </c>
      <c r="C195" s="56">
        <f>wyniki!I233</f>
        <v>0</v>
      </c>
      <c r="D195" s="18">
        <v>1.9400000000000001E-3</v>
      </c>
      <c r="E195" s="56">
        <f t="shared" ref="E195:E241" si="12">C195+D195</f>
        <v>1.9400000000000001E-3</v>
      </c>
      <c r="F195">
        <f>wyniki!$A$231</f>
        <v>0</v>
      </c>
      <c r="J195" s="79">
        <f t="shared" ref="J195:J241" si="13">INDEX($B$2:$E$241,L195,1)</f>
        <v>0</v>
      </c>
      <c r="K195" s="69">
        <f>LARGE($E$2:$E$241,194)</f>
        <v>1.23E-3</v>
      </c>
      <c r="L195" s="59">
        <f t="shared" ref="L195:L241" si="14">MATCH(K195,$E$2:$E$241,0)</f>
        <v>123</v>
      </c>
      <c r="M195" s="90">
        <f t="shared" ref="M195:M241" si="15">INDEX($E$2:$F$241,L195,2)</f>
        <v>0</v>
      </c>
      <c r="N195" s="37">
        <v>194</v>
      </c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</row>
    <row r="196" spans="2:31" ht="17.25" thickTop="1" thickBot="1">
      <c r="B196">
        <f>wyniki!B234</f>
        <v>0</v>
      </c>
      <c r="C196" s="56">
        <f>wyniki!I234</f>
        <v>0</v>
      </c>
      <c r="D196" s="18">
        <v>1.9499999999999999E-3</v>
      </c>
      <c r="E196" s="56">
        <f t="shared" si="12"/>
        <v>1.9499999999999999E-3</v>
      </c>
      <c r="F196">
        <f>wyniki!$A$231</f>
        <v>0</v>
      </c>
      <c r="J196" s="79">
        <f t="shared" si="13"/>
        <v>0</v>
      </c>
      <c r="K196" s="69">
        <f>LARGE($E$2:$E$241,195)</f>
        <v>1.2199999999999999E-3</v>
      </c>
      <c r="L196" s="59">
        <f t="shared" si="14"/>
        <v>122</v>
      </c>
      <c r="M196" s="90">
        <f t="shared" si="15"/>
        <v>0</v>
      </c>
      <c r="N196" s="37">
        <v>195</v>
      </c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</row>
    <row r="197" spans="2:31" ht="17.25" thickTop="1" thickBot="1">
      <c r="B197">
        <f>wyniki!B235</f>
        <v>0</v>
      </c>
      <c r="C197" s="56">
        <f>wyniki!I235</f>
        <v>0</v>
      </c>
      <c r="D197" s="18">
        <v>1.9599999999999999E-3</v>
      </c>
      <c r="E197" s="56">
        <f t="shared" si="12"/>
        <v>1.9599999999999999E-3</v>
      </c>
      <c r="F197">
        <f>wyniki!$A$231</f>
        <v>0</v>
      </c>
      <c r="J197" s="79">
        <f t="shared" si="13"/>
        <v>0</v>
      </c>
      <c r="K197" s="69">
        <f>LARGE($E$2:$E$241,196)</f>
        <v>1.2099999999999999E-3</v>
      </c>
      <c r="L197" s="59">
        <f t="shared" si="14"/>
        <v>121</v>
      </c>
      <c r="M197" s="90">
        <f t="shared" si="15"/>
        <v>0</v>
      </c>
      <c r="N197" s="37">
        <v>196</v>
      </c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</row>
    <row r="198" spans="2:31" ht="17.25" thickTop="1" thickBot="1">
      <c r="B198">
        <f>wyniki!B236</f>
        <v>0</v>
      </c>
      <c r="C198" s="56">
        <f>wyniki!I236</f>
        <v>0</v>
      </c>
      <c r="D198" s="18">
        <v>1.97E-3</v>
      </c>
      <c r="E198" s="56">
        <f t="shared" si="12"/>
        <v>1.97E-3</v>
      </c>
      <c r="F198">
        <f>wyniki!$A$231</f>
        <v>0</v>
      </c>
      <c r="J198" s="79">
        <f t="shared" si="13"/>
        <v>0</v>
      </c>
      <c r="K198" s="69">
        <f>LARGE($E$2:$E$241,197)</f>
        <v>1.1999999999999999E-3</v>
      </c>
      <c r="L198" s="59">
        <f t="shared" si="14"/>
        <v>120</v>
      </c>
      <c r="M198" s="90">
        <f t="shared" si="15"/>
        <v>0</v>
      </c>
      <c r="N198" s="37">
        <v>197</v>
      </c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</row>
    <row r="199" spans="2:31" ht="17.25" thickTop="1" thickBot="1">
      <c r="B199">
        <f>wyniki!B237</f>
        <v>0</v>
      </c>
      <c r="C199" s="56">
        <f>wyniki!I237</f>
        <v>0</v>
      </c>
      <c r="D199" s="18">
        <v>1.98E-3</v>
      </c>
      <c r="E199" s="56">
        <f t="shared" si="12"/>
        <v>1.98E-3</v>
      </c>
      <c r="F199">
        <f>wyniki!$A$231</f>
        <v>0</v>
      </c>
      <c r="J199" s="79">
        <f t="shared" si="13"/>
        <v>0</v>
      </c>
      <c r="K199" s="69">
        <f>LARGE($E$2:$E$241,198)</f>
        <v>1.1900000000000001E-3</v>
      </c>
      <c r="L199" s="59">
        <f t="shared" si="14"/>
        <v>119</v>
      </c>
      <c r="M199" s="90">
        <f t="shared" si="15"/>
        <v>0</v>
      </c>
      <c r="N199" s="37">
        <v>198</v>
      </c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</row>
    <row r="200" spans="2:31" ht="17.25" thickTop="1" thickBot="1">
      <c r="B200">
        <f>wyniki!B239</f>
        <v>0</v>
      </c>
      <c r="C200" s="56">
        <f>wyniki!I239</f>
        <v>0</v>
      </c>
      <c r="D200" s="18">
        <v>1.99E-3</v>
      </c>
      <c r="E200" s="56">
        <f t="shared" si="12"/>
        <v>1.99E-3</v>
      </c>
      <c r="F200">
        <f>wyniki!$A$238</f>
        <v>0</v>
      </c>
      <c r="J200" s="79">
        <f t="shared" si="13"/>
        <v>0</v>
      </c>
      <c r="K200" s="69">
        <f>LARGE($E$2:$E$241,199)</f>
        <v>1.1800000000000001E-3</v>
      </c>
      <c r="L200" s="59">
        <f t="shared" si="14"/>
        <v>118</v>
      </c>
      <c r="M200" s="90">
        <f t="shared" si="15"/>
        <v>0</v>
      </c>
      <c r="N200" s="37">
        <v>199</v>
      </c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</row>
    <row r="201" spans="2:31" ht="17.25" thickTop="1" thickBot="1">
      <c r="B201">
        <f>wyniki!B240</f>
        <v>0</v>
      </c>
      <c r="C201" s="56">
        <f>wyniki!I240</f>
        <v>0</v>
      </c>
      <c r="D201" s="18">
        <v>2E-3</v>
      </c>
      <c r="E201" s="56">
        <f t="shared" si="12"/>
        <v>2E-3</v>
      </c>
      <c r="F201">
        <f>wyniki!$A$238</f>
        <v>0</v>
      </c>
      <c r="J201" s="79">
        <f t="shared" si="13"/>
        <v>0</v>
      </c>
      <c r="K201" s="69">
        <f>LARGE($E$2:$E$241,200)</f>
        <v>1.17E-3</v>
      </c>
      <c r="L201" s="59">
        <f t="shared" si="14"/>
        <v>117</v>
      </c>
      <c r="M201" s="90">
        <f t="shared" si="15"/>
        <v>0</v>
      </c>
      <c r="N201" s="37">
        <v>200</v>
      </c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</row>
    <row r="202" spans="2:31" ht="17.25" thickTop="1" thickBot="1">
      <c r="B202">
        <f>wyniki!B241</f>
        <v>0</v>
      </c>
      <c r="C202" s="56">
        <f>wyniki!I241</f>
        <v>0</v>
      </c>
      <c r="D202" s="18">
        <v>2.0100000000000001E-3</v>
      </c>
      <c r="E202" s="56">
        <f t="shared" si="12"/>
        <v>2.0100000000000001E-3</v>
      </c>
      <c r="F202">
        <f>wyniki!$A$238</f>
        <v>0</v>
      </c>
      <c r="J202" s="79">
        <f t="shared" si="13"/>
        <v>0</v>
      </c>
      <c r="K202" s="69">
        <f>LARGE($E$2:$E$241,201)</f>
        <v>1.16E-3</v>
      </c>
      <c r="L202" s="59">
        <f t="shared" si="14"/>
        <v>116</v>
      </c>
      <c r="M202" s="90">
        <f t="shared" si="15"/>
        <v>0</v>
      </c>
      <c r="N202" s="37">
        <v>201</v>
      </c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</row>
    <row r="203" spans="2:31" ht="17.25" thickTop="1" thickBot="1">
      <c r="B203">
        <f>wyniki!B242</f>
        <v>0</v>
      </c>
      <c r="C203" s="56">
        <f>wyniki!I242</f>
        <v>0</v>
      </c>
      <c r="D203" s="18">
        <v>2.0200000000000001E-3</v>
      </c>
      <c r="E203" s="56">
        <f t="shared" si="12"/>
        <v>2.0200000000000001E-3</v>
      </c>
      <c r="F203">
        <f>wyniki!$A$238</f>
        <v>0</v>
      </c>
      <c r="J203" s="79">
        <f t="shared" si="13"/>
        <v>0</v>
      </c>
      <c r="K203" s="69">
        <f>LARGE($E$2:$E$241,202)</f>
        <v>1.15E-3</v>
      </c>
      <c r="L203" s="59">
        <f t="shared" si="14"/>
        <v>115</v>
      </c>
      <c r="M203" s="90">
        <f t="shared" si="15"/>
        <v>0</v>
      </c>
      <c r="N203" s="37">
        <v>202</v>
      </c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</row>
    <row r="204" spans="2:31" ht="17.25" thickTop="1" thickBot="1">
      <c r="B204">
        <f>wyniki!B243</f>
        <v>0</v>
      </c>
      <c r="C204" s="56">
        <f>wyniki!I243</f>
        <v>0</v>
      </c>
      <c r="D204" s="18">
        <v>2.0300000000000001E-3</v>
      </c>
      <c r="E204" s="56">
        <f t="shared" si="12"/>
        <v>2.0300000000000001E-3</v>
      </c>
      <c r="F204">
        <f>wyniki!$A$238</f>
        <v>0</v>
      </c>
      <c r="J204" s="79">
        <f t="shared" si="13"/>
        <v>0</v>
      </c>
      <c r="K204" s="69">
        <f>LARGE($E$2:$E$241,203)</f>
        <v>1.14E-3</v>
      </c>
      <c r="L204" s="59">
        <f t="shared" si="14"/>
        <v>114</v>
      </c>
      <c r="M204" s="90">
        <f t="shared" si="15"/>
        <v>0</v>
      </c>
      <c r="N204" s="37">
        <v>203</v>
      </c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</row>
    <row r="205" spans="2:31" ht="17.25" thickTop="1" thickBot="1">
      <c r="B205">
        <f>wyniki!B244</f>
        <v>0</v>
      </c>
      <c r="C205" s="56">
        <f>wyniki!I244</f>
        <v>0</v>
      </c>
      <c r="D205" s="18">
        <v>2.0400000000000001E-3</v>
      </c>
      <c r="E205" s="56">
        <f t="shared" si="12"/>
        <v>2.0400000000000001E-3</v>
      </c>
      <c r="F205">
        <f>wyniki!$A$238</f>
        <v>0</v>
      </c>
      <c r="J205" s="79">
        <f t="shared" si="13"/>
        <v>0</v>
      </c>
      <c r="K205" s="69">
        <f>LARGE($E$2:$E$241,204)</f>
        <v>1.1299999999999999E-3</v>
      </c>
      <c r="L205" s="59">
        <f t="shared" si="14"/>
        <v>113</v>
      </c>
      <c r="M205" s="90">
        <f t="shared" si="15"/>
        <v>0</v>
      </c>
      <c r="N205" s="37">
        <v>204</v>
      </c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</row>
    <row r="206" spans="2:31" ht="17.25" thickTop="1" thickBot="1">
      <c r="B206">
        <f>wyniki!B246</f>
        <v>0</v>
      </c>
      <c r="C206" s="56">
        <f>wyniki!I246</f>
        <v>0</v>
      </c>
      <c r="D206" s="18">
        <v>2.0500000000000002E-3</v>
      </c>
      <c r="E206" s="56">
        <f t="shared" si="12"/>
        <v>2.0500000000000002E-3</v>
      </c>
      <c r="F206">
        <f>wyniki!$A$245</f>
        <v>0</v>
      </c>
      <c r="J206" s="79">
        <f t="shared" si="13"/>
        <v>0</v>
      </c>
      <c r="K206" s="69">
        <f>LARGE($E$2:$E$241,205)</f>
        <v>1.1199999999999999E-3</v>
      </c>
      <c r="L206" s="59">
        <f t="shared" si="14"/>
        <v>112</v>
      </c>
      <c r="M206" s="90">
        <f t="shared" si="15"/>
        <v>0</v>
      </c>
      <c r="N206" s="37">
        <v>205</v>
      </c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</row>
    <row r="207" spans="2:31" ht="17.25" thickTop="1" thickBot="1">
      <c r="B207">
        <f>wyniki!B247</f>
        <v>0</v>
      </c>
      <c r="C207" s="56">
        <f>wyniki!I247</f>
        <v>0</v>
      </c>
      <c r="D207" s="18">
        <v>2.0600000000000002E-3</v>
      </c>
      <c r="E207" s="56">
        <f t="shared" si="12"/>
        <v>2.0600000000000002E-3</v>
      </c>
      <c r="F207">
        <f>wyniki!$A$245</f>
        <v>0</v>
      </c>
      <c r="J207" s="79">
        <f t="shared" si="13"/>
        <v>0</v>
      </c>
      <c r="K207" s="69">
        <f>LARGE($E$2:$E$241,206)</f>
        <v>1.1100000000000001E-3</v>
      </c>
      <c r="L207" s="59">
        <f t="shared" si="14"/>
        <v>111</v>
      </c>
      <c r="M207" s="90">
        <f t="shared" si="15"/>
        <v>0</v>
      </c>
      <c r="N207" s="37">
        <v>206</v>
      </c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</row>
    <row r="208" spans="2:31" ht="17.25" thickTop="1" thickBot="1">
      <c r="B208">
        <f>wyniki!B248</f>
        <v>0</v>
      </c>
      <c r="C208" s="56">
        <f>wyniki!I248</f>
        <v>0</v>
      </c>
      <c r="D208" s="18">
        <v>2.0699999999999998E-3</v>
      </c>
      <c r="E208" s="56">
        <f t="shared" si="12"/>
        <v>2.0699999999999998E-3</v>
      </c>
      <c r="F208">
        <f>wyniki!$A$245</f>
        <v>0</v>
      </c>
      <c r="J208" s="79">
        <f t="shared" si="13"/>
        <v>0</v>
      </c>
      <c r="K208" s="69">
        <f>LARGE($E$2:$E$241,207)</f>
        <v>1.1000000000000001E-3</v>
      </c>
      <c r="L208" s="59">
        <f t="shared" si="14"/>
        <v>110</v>
      </c>
      <c r="M208" s="90">
        <f t="shared" si="15"/>
        <v>0</v>
      </c>
      <c r="N208" s="37">
        <v>207</v>
      </c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</row>
    <row r="209" spans="2:31" ht="17.25" thickTop="1" thickBot="1">
      <c r="B209">
        <f>wyniki!B249</f>
        <v>0</v>
      </c>
      <c r="C209" s="56">
        <f>wyniki!I249</f>
        <v>0</v>
      </c>
      <c r="D209" s="18">
        <v>2.0799999999999998E-3</v>
      </c>
      <c r="E209" s="56">
        <f t="shared" si="12"/>
        <v>2.0799999999999998E-3</v>
      </c>
      <c r="F209">
        <f>wyniki!$A$245</f>
        <v>0</v>
      </c>
      <c r="J209" s="79">
        <f t="shared" si="13"/>
        <v>0</v>
      </c>
      <c r="K209" s="69">
        <f>LARGE($E$2:$E$241,208)</f>
        <v>1.09E-3</v>
      </c>
      <c r="L209" s="59">
        <f t="shared" si="14"/>
        <v>109</v>
      </c>
      <c r="M209" s="90">
        <f t="shared" si="15"/>
        <v>0</v>
      </c>
      <c r="N209" s="37">
        <v>208</v>
      </c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</row>
    <row r="210" spans="2:31" ht="17.25" thickTop="1" thickBot="1">
      <c r="B210">
        <f>wyniki!B250</f>
        <v>0</v>
      </c>
      <c r="C210" s="56">
        <f>wyniki!I250</f>
        <v>0</v>
      </c>
      <c r="D210" s="18">
        <v>2.0899999999999998E-3</v>
      </c>
      <c r="E210" s="56">
        <f t="shared" si="12"/>
        <v>2.0899999999999998E-3</v>
      </c>
      <c r="F210">
        <f>wyniki!$A$245</f>
        <v>0</v>
      </c>
      <c r="J210" s="79">
        <f t="shared" si="13"/>
        <v>0</v>
      </c>
      <c r="K210" s="69">
        <f>LARGE($E$2:$E$241,209)</f>
        <v>1.08E-3</v>
      </c>
      <c r="L210" s="59">
        <f t="shared" si="14"/>
        <v>108</v>
      </c>
      <c r="M210" s="90">
        <f t="shared" si="15"/>
        <v>0</v>
      </c>
      <c r="N210" s="37">
        <v>209</v>
      </c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</row>
    <row r="211" spans="2:31" ht="17.25" thickTop="1" thickBot="1">
      <c r="B211">
        <f>wyniki!B251</f>
        <v>0</v>
      </c>
      <c r="C211" s="56">
        <f>wyniki!I251</f>
        <v>0</v>
      </c>
      <c r="D211" s="18">
        <v>2.0999999999999999E-3</v>
      </c>
      <c r="E211" s="56">
        <f t="shared" si="12"/>
        <v>2.0999999999999999E-3</v>
      </c>
      <c r="F211">
        <f>wyniki!$A$245</f>
        <v>0</v>
      </c>
      <c r="J211" s="79">
        <f t="shared" si="13"/>
        <v>0</v>
      </c>
      <c r="K211" s="69">
        <f>LARGE($E$2:$E$241,210)</f>
        <v>1.07E-3</v>
      </c>
      <c r="L211" s="59">
        <f t="shared" si="14"/>
        <v>107</v>
      </c>
      <c r="M211" s="90">
        <f t="shared" si="15"/>
        <v>0</v>
      </c>
      <c r="N211" s="37">
        <v>210</v>
      </c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</row>
    <row r="212" spans="2:31" ht="17.25" thickTop="1" thickBot="1">
      <c r="B212">
        <f>wyniki!B253</f>
        <v>0</v>
      </c>
      <c r="C212" s="56">
        <f>wyniki!I253</f>
        <v>0</v>
      </c>
      <c r="D212" s="18">
        <v>2.1099999999999999E-3</v>
      </c>
      <c r="E212" s="56">
        <f t="shared" si="12"/>
        <v>2.1099999999999999E-3</v>
      </c>
      <c r="F212">
        <f>wyniki!$A$252</f>
        <v>0</v>
      </c>
      <c r="J212" s="79">
        <f t="shared" si="13"/>
        <v>0</v>
      </c>
      <c r="K212" s="69">
        <f>LARGE($E$2:$E$241,211)</f>
        <v>1.06E-3</v>
      </c>
      <c r="L212" s="59">
        <f t="shared" si="14"/>
        <v>106</v>
      </c>
      <c r="M212" s="90">
        <f t="shared" si="15"/>
        <v>0</v>
      </c>
      <c r="N212" s="37">
        <v>211</v>
      </c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</row>
    <row r="213" spans="2:31" ht="17.25" thickTop="1" thickBot="1">
      <c r="B213">
        <f>wyniki!B254</f>
        <v>0</v>
      </c>
      <c r="C213" s="56">
        <f>wyniki!I254</f>
        <v>0</v>
      </c>
      <c r="D213" s="18">
        <v>2.1199999999999999E-3</v>
      </c>
      <c r="E213" s="56">
        <f t="shared" si="12"/>
        <v>2.1199999999999999E-3</v>
      </c>
      <c r="F213">
        <f>wyniki!$A$252</f>
        <v>0</v>
      </c>
      <c r="J213" s="79">
        <f t="shared" si="13"/>
        <v>0</v>
      </c>
      <c r="K213" s="69">
        <f>LARGE($E$2:$E$241,212)</f>
        <v>1.0499999999999999E-3</v>
      </c>
      <c r="L213" s="59">
        <f t="shared" si="14"/>
        <v>105</v>
      </c>
      <c r="M213" s="90">
        <f t="shared" si="15"/>
        <v>0</v>
      </c>
      <c r="N213" s="37">
        <v>212</v>
      </c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</row>
    <row r="214" spans="2:31" ht="17.25" thickTop="1" thickBot="1">
      <c r="B214">
        <f>wyniki!B255</f>
        <v>0</v>
      </c>
      <c r="C214" s="56">
        <f>wyniki!I255</f>
        <v>0</v>
      </c>
      <c r="D214" s="18">
        <v>2.1299999999999999E-3</v>
      </c>
      <c r="E214" s="56">
        <f t="shared" si="12"/>
        <v>2.1299999999999999E-3</v>
      </c>
      <c r="F214">
        <f>wyniki!$A$252</f>
        <v>0</v>
      </c>
      <c r="J214" s="79">
        <f t="shared" si="13"/>
        <v>0</v>
      </c>
      <c r="K214" s="69">
        <f>LARGE($E$2:$E$241,213)</f>
        <v>1.0399999999999999E-3</v>
      </c>
      <c r="L214" s="59">
        <f t="shared" si="14"/>
        <v>104</v>
      </c>
      <c r="M214" s="90">
        <f t="shared" si="15"/>
        <v>0</v>
      </c>
      <c r="N214" s="37">
        <v>213</v>
      </c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</row>
    <row r="215" spans="2:31" ht="17.25" thickTop="1" thickBot="1">
      <c r="B215">
        <f>wyniki!B256</f>
        <v>0</v>
      </c>
      <c r="C215" s="56">
        <f>wyniki!I256</f>
        <v>0</v>
      </c>
      <c r="D215" s="18">
        <v>2.14E-3</v>
      </c>
      <c r="E215" s="56">
        <f t="shared" si="12"/>
        <v>2.14E-3</v>
      </c>
      <c r="F215">
        <f>wyniki!$A$252</f>
        <v>0</v>
      </c>
      <c r="J215" s="79">
        <f t="shared" si="13"/>
        <v>0</v>
      </c>
      <c r="K215" s="69">
        <f>LARGE($E$2:$E$241,214)</f>
        <v>1.0300000000000001E-3</v>
      </c>
      <c r="L215" s="59">
        <f t="shared" si="14"/>
        <v>103</v>
      </c>
      <c r="M215" s="90">
        <f t="shared" si="15"/>
        <v>0</v>
      </c>
      <c r="N215" s="37">
        <v>214</v>
      </c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</row>
    <row r="216" spans="2:31" ht="17.25" thickTop="1" thickBot="1">
      <c r="B216">
        <f>wyniki!B257</f>
        <v>0</v>
      </c>
      <c r="C216" s="56">
        <f>wyniki!I257</f>
        <v>0</v>
      </c>
      <c r="D216" s="18">
        <v>2.15E-3</v>
      </c>
      <c r="E216" s="56">
        <f t="shared" si="12"/>
        <v>2.15E-3</v>
      </c>
      <c r="F216">
        <f>wyniki!$A$252</f>
        <v>0</v>
      </c>
      <c r="J216" s="79">
        <f t="shared" si="13"/>
        <v>0</v>
      </c>
      <c r="K216" s="69">
        <f>LARGE($E$2:$E$241,215)</f>
        <v>1.0200000000000001E-3</v>
      </c>
      <c r="L216" s="59">
        <f t="shared" si="14"/>
        <v>102</v>
      </c>
      <c r="M216" s="90">
        <f t="shared" si="15"/>
        <v>0</v>
      </c>
      <c r="N216" s="37">
        <v>215</v>
      </c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</row>
    <row r="217" spans="2:31" ht="17.25" thickTop="1" thickBot="1">
      <c r="B217">
        <f>wyniki!B258</f>
        <v>0</v>
      </c>
      <c r="C217" s="56">
        <f>wyniki!I258</f>
        <v>0</v>
      </c>
      <c r="D217" s="18">
        <v>2.16E-3</v>
      </c>
      <c r="E217" s="56">
        <f t="shared" si="12"/>
        <v>2.16E-3</v>
      </c>
      <c r="F217">
        <f>wyniki!$A$252</f>
        <v>0</v>
      </c>
      <c r="J217" s="79">
        <f t="shared" si="13"/>
        <v>0</v>
      </c>
      <c r="K217" s="69">
        <f>LARGE($E$2:$E$241,216)</f>
        <v>1.01E-3</v>
      </c>
      <c r="L217" s="59">
        <f t="shared" si="14"/>
        <v>101</v>
      </c>
      <c r="M217" s="90">
        <f t="shared" si="15"/>
        <v>0</v>
      </c>
      <c r="N217" s="37">
        <v>216</v>
      </c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</row>
    <row r="218" spans="2:31" ht="17.25" thickTop="1" thickBot="1">
      <c r="B218">
        <f>wyniki!B260</f>
        <v>0</v>
      </c>
      <c r="C218" s="56">
        <f>wyniki!I260</f>
        <v>0</v>
      </c>
      <c r="D218" s="18">
        <v>2.1700000000000001E-3</v>
      </c>
      <c r="E218" s="56">
        <f t="shared" si="12"/>
        <v>2.1700000000000001E-3</v>
      </c>
      <c r="F218">
        <f>wyniki!$A$259</f>
        <v>0</v>
      </c>
      <c r="J218" s="79">
        <f t="shared" si="13"/>
        <v>0</v>
      </c>
      <c r="K218" s="69">
        <f>LARGE($E$2:$E$241,217)</f>
        <v>1E-3</v>
      </c>
      <c r="L218" s="59">
        <f t="shared" si="14"/>
        <v>100</v>
      </c>
      <c r="M218" s="90">
        <f t="shared" si="15"/>
        <v>0</v>
      </c>
      <c r="N218" s="37">
        <v>217</v>
      </c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</row>
    <row r="219" spans="2:31" ht="17.25" thickTop="1" thickBot="1">
      <c r="B219">
        <f>wyniki!B261</f>
        <v>0</v>
      </c>
      <c r="C219" s="56">
        <f>wyniki!I261</f>
        <v>0</v>
      </c>
      <c r="D219" s="18">
        <v>2.1800000000000001E-3</v>
      </c>
      <c r="E219" s="56">
        <f t="shared" si="12"/>
        <v>2.1800000000000001E-3</v>
      </c>
      <c r="F219">
        <f>wyniki!$A$259</f>
        <v>0</v>
      </c>
      <c r="J219" s="79">
        <f t="shared" si="13"/>
        <v>0</v>
      </c>
      <c r="K219" s="69">
        <f>LARGE($E$2:$E$241,218)</f>
        <v>9.8999999999999999E-4</v>
      </c>
      <c r="L219" s="59">
        <f t="shared" si="14"/>
        <v>99</v>
      </c>
      <c r="M219" s="90">
        <f t="shared" si="15"/>
        <v>0</v>
      </c>
      <c r="N219" s="37">
        <v>218</v>
      </c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</row>
    <row r="220" spans="2:31" ht="17.25" thickTop="1" thickBot="1">
      <c r="B220">
        <f>wyniki!B262</f>
        <v>0</v>
      </c>
      <c r="C220" s="56">
        <f>wyniki!I262</f>
        <v>0</v>
      </c>
      <c r="D220" s="18">
        <v>2.1900000000000001E-3</v>
      </c>
      <c r="E220" s="56">
        <f t="shared" si="12"/>
        <v>2.1900000000000001E-3</v>
      </c>
      <c r="F220">
        <f>wyniki!$A$259</f>
        <v>0</v>
      </c>
      <c r="J220" s="79">
        <f t="shared" si="13"/>
        <v>0</v>
      </c>
      <c r="K220" s="69">
        <f>LARGE($E$2:$E$241,219)</f>
        <v>9.7999999999999997E-4</v>
      </c>
      <c r="L220" s="59">
        <f t="shared" si="14"/>
        <v>98</v>
      </c>
      <c r="M220" s="90">
        <f t="shared" si="15"/>
        <v>0</v>
      </c>
      <c r="N220" s="37">
        <v>219</v>
      </c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</row>
    <row r="221" spans="2:31" ht="17.25" thickTop="1" thickBot="1">
      <c r="B221">
        <f>wyniki!B263</f>
        <v>0</v>
      </c>
      <c r="C221" s="56">
        <f>wyniki!I263</f>
        <v>0</v>
      </c>
      <c r="D221" s="18">
        <v>2.2000000000000001E-3</v>
      </c>
      <c r="E221" s="56">
        <f t="shared" si="12"/>
        <v>2.2000000000000001E-3</v>
      </c>
      <c r="F221">
        <f>wyniki!$A$259</f>
        <v>0</v>
      </c>
      <c r="J221" s="79">
        <f t="shared" si="13"/>
        <v>0</v>
      </c>
      <c r="K221" s="69">
        <f>LARGE($E$2:$E$241,220)</f>
        <v>9.7000000000000005E-4</v>
      </c>
      <c r="L221" s="59">
        <f t="shared" si="14"/>
        <v>97</v>
      </c>
      <c r="M221" s="90">
        <f t="shared" si="15"/>
        <v>0</v>
      </c>
      <c r="N221" s="37">
        <v>220</v>
      </c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</row>
    <row r="222" spans="2:31" ht="17.25" thickTop="1" thickBot="1">
      <c r="B222">
        <f>wyniki!B264</f>
        <v>0</v>
      </c>
      <c r="C222" s="56">
        <f>wyniki!I264</f>
        <v>0</v>
      </c>
      <c r="D222" s="18">
        <v>2.2100000000000002E-3</v>
      </c>
      <c r="E222" s="56">
        <f t="shared" si="12"/>
        <v>2.2100000000000002E-3</v>
      </c>
      <c r="F222">
        <f>wyniki!$A$259</f>
        <v>0</v>
      </c>
      <c r="J222" s="79">
        <f t="shared" si="13"/>
        <v>0</v>
      </c>
      <c r="K222" s="69">
        <f>LARGE($E$2:$E$241,221)</f>
        <v>9.6000000000000002E-4</v>
      </c>
      <c r="L222" s="59">
        <f t="shared" si="14"/>
        <v>96</v>
      </c>
      <c r="M222" s="90">
        <f t="shared" si="15"/>
        <v>0</v>
      </c>
      <c r="N222" s="37">
        <v>221</v>
      </c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</row>
    <row r="223" spans="2:31" ht="17.25" thickTop="1" thickBot="1">
      <c r="B223">
        <f>wyniki!B265</f>
        <v>0</v>
      </c>
      <c r="C223" s="56">
        <f>wyniki!I265</f>
        <v>0</v>
      </c>
      <c r="D223" s="18">
        <v>2.2200000000000002E-3</v>
      </c>
      <c r="E223" s="56">
        <f t="shared" si="12"/>
        <v>2.2200000000000002E-3</v>
      </c>
      <c r="F223">
        <f>wyniki!$A$259</f>
        <v>0</v>
      </c>
      <c r="J223" s="79">
        <f t="shared" si="13"/>
        <v>0</v>
      </c>
      <c r="K223" s="69">
        <f>LARGE($E$2:$E$241,222)</f>
        <v>9.5E-4</v>
      </c>
      <c r="L223" s="59">
        <f t="shared" si="14"/>
        <v>95</v>
      </c>
      <c r="M223" s="90">
        <f t="shared" si="15"/>
        <v>0</v>
      </c>
      <c r="N223" s="37">
        <v>222</v>
      </c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</row>
    <row r="224" spans="2:31" ht="17.25" thickTop="1" thickBot="1">
      <c r="B224">
        <f>wyniki!B267</f>
        <v>0</v>
      </c>
      <c r="C224" s="56">
        <f>wyniki!I267</f>
        <v>0</v>
      </c>
      <c r="D224" s="18">
        <v>2.2300000000000002E-3</v>
      </c>
      <c r="E224" s="56">
        <f t="shared" si="12"/>
        <v>2.2300000000000002E-3</v>
      </c>
      <c r="F224">
        <f>wyniki!$A$266</f>
        <v>0</v>
      </c>
      <c r="J224" s="79">
        <f t="shared" si="13"/>
        <v>0</v>
      </c>
      <c r="K224" s="69">
        <f>LARGE($E$2:$E$241,223)</f>
        <v>9.3999999999999997E-4</v>
      </c>
      <c r="L224" s="59">
        <f t="shared" si="14"/>
        <v>94</v>
      </c>
      <c r="M224" s="90">
        <f t="shared" si="15"/>
        <v>0</v>
      </c>
      <c r="N224" s="37">
        <v>223</v>
      </c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</row>
    <row r="225" spans="2:31" ht="17.25" thickTop="1" thickBot="1">
      <c r="B225">
        <f>wyniki!B268</f>
        <v>0</v>
      </c>
      <c r="C225" s="56">
        <f>wyniki!I268</f>
        <v>0</v>
      </c>
      <c r="D225" s="18">
        <v>2.2399999999999998E-3</v>
      </c>
      <c r="E225" s="56">
        <f t="shared" si="12"/>
        <v>2.2399999999999998E-3</v>
      </c>
      <c r="F225">
        <f>wyniki!$A$266</f>
        <v>0</v>
      </c>
      <c r="J225" s="79">
        <f t="shared" si="13"/>
        <v>0</v>
      </c>
      <c r="K225" s="69">
        <f>LARGE($E$2:$E$241,224)</f>
        <v>9.3000000000000005E-4</v>
      </c>
      <c r="L225" s="59">
        <f t="shared" si="14"/>
        <v>93</v>
      </c>
      <c r="M225" s="90">
        <f t="shared" si="15"/>
        <v>0</v>
      </c>
      <c r="N225" s="37">
        <v>224</v>
      </c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</row>
    <row r="226" spans="2:31" ht="17.25" thickTop="1" thickBot="1">
      <c r="B226">
        <f>wyniki!B269</f>
        <v>0</v>
      </c>
      <c r="C226" s="56">
        <f>wyniki!I269</f>
        <v>0</v>
      </c>
      <c r="D226" s="18">
        <v>2.2499999999999998E-3</v>
      </c>
      <c r="E226" s="56">
        <f t="shared" si="12"/>
        <v>2.2499999999999998E-3</v>
      </c>
      <c r="F226">
        <f>wyniki!$A$266</f>
        <v>0</v>
      </c>
      <c r="J226" s="79">
        <f t="shared" si="13"/>
        <v>0</v>
      </c>
      <c r="K226" s="69">
        <f>LARGE($E$2:$E$241,225)</f>
        <v>9.2000000000000003E-4</v>
      </c>
      <c r="L226" s="59">
        <f t="shared" si="14"/>
        <v>92</v>
      </c>
      <c r="M226" s="90">
        <f t="shared" si="15"/>
        <v>0</v>
      </c>
      <c r="N226" s="37">
        <v>225</v>
      </c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</row>
    <row r="227" spans="2:31" ht="17.25" thickTop="1" thickBot="1">
      <c r="B227">
        <f>wyniki!B270</f>
        <v>0</v>
      </c>
      <c r="C227" s="56">
        <f>wyniki!I270</f>
        <v>0</v>
      </c>
      <c r="D227" s="18">
        <v>2.2599999999999999E-3</v>
      </c>
      <c r="E227" s="56">
        <f t="shared" si="12"/>
        <v>2.2599999999999999E-3</v>
      </c>
      <c r="F227">
        <f>wyniki!$A$266</f>
        <v>0</v>
      </c>
      <c r="J227" s="79">
        <f t="shared" si="13"/>
        <v>0</v>
      </c>
      <c r="K227" s="69">
        <f>LARGE($E$2:$E$241,226)</f>
        <v>9.1E-4</v>
      </c>
      <c r="L227" s="59">
        <f t="shared" si="14"/>
        <v>91</v>
      </c>
      <c r="M227" s="90">
        <f t="shared" si="15"/>
        <v>0</v>
      </c>
      <c r="N227" s="37">
        <v>226</v>
      </c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</row>
    <row r="228" spans="2:31" ht="17.25" thickTop="1" thickBot="1">
      <c r="B228">
        <f>wyniki!B271</f>
        <v>0</v>
      </c>
      <c r="C228" s="56">
        <f>wyniki!I271</f>
        <v>0</v>
      </c>
      <c r="D228" s="18">
        <v>2.2699999999999999E-3</v>
      </c>
      <c r="E228" s="56">
        <f t="shared" si="12"/>
        <v>2.2699999999999999E-3</v>
      </c>
      <c r="F228">
        <f>wyniki!$A$266</f>
        <v>0</v>
      </c>
      <c r="J228" s="79">
        <f t="shared" si="13"/>
        <v>0</v>
      </c>
      <c r="K228" s="69">
        <f>LARGE($E$2:$E$241,227)</f>
        <v>8.9999999999999998E-4</v>
      </c>
      <c r="L228" s="59">
        <f t="shared" si="14"/>
        <v>90</v>
      </c>
      <c r="M228" s="90">
        <f t="shared" si="15"/>
        <v>0</v>
      </c>
      <c r="N228" s="37">
        <v>227</v>
      </c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</row>
    <row r="229" spans="2:31" ht="17.25" thickTop="1" thickBot="1">
      <c r="B229">
        <f>wyniki!B272</f>
        <v>0</v>
      </c>
      <c r="C229" s="56">
        <f>wyniki!I272</f>
        <v>0</v>
      </c>
      <c r="D229" s="18">
        <v>2.2799999999999999E-3</v>
      </c>
      <c r="E229" s="56">
        <f t="shared" si="12"/>
        <v>2.2799999999999999E-3</v>
      </c>
      <c r="F229">
        <f>wyniki!$A$266</f>
        <v>0</v>
      </c>
      <c r="J229" s="79">
        <f t="shared" si="13"/>
        <v>0</v>
      </c>
      <c r="K229" s="69">
        <f>LARGE($E$2:$E$241,228)</f>
        <v>8.8999999999999995E-4</v>
      </c>
      <c r="L229" s="59">
        <f t="shared" si="14"/>
        <v>89</v>
      </c>
      <c r="M229" s="90">
        <f t="shared" si="15"/>
        <v>0</v>
      </c>
      <c r="N229" s="37">
        <v>228</v>
      </c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</row>
    <row r="230" spans="2:31" ht="17.25" thickTop="1" thickBot="1">
      <c r="B230">
        <f>wyniki!B274</f>
        <v>0</v>
      </c>
      <c r="C230" s="56">
        <f>wyniki!I274</f>
        <v>0</v>
      </c>
      <c r="D230" s="18">
        <v>2.2899999999999999E-3</v>
      </c>
      <c r="E230" s="56">
        <f t="shared" si="12"/>
        <v>2.2899999999999999E-3</v>
      </c>
      <c r="F230">
        <f>wyniki!$A$273</f>
        <v>0</v>
      </c>
      <c r="J230" s="79">
        <f t="shared" si="13"/>
        <v>0</v>
      </c>
      <c r="K230" s="69">
        <f>LARGE($E$2:$E$241,229)</f>
        <v>8.8000000000000003E-4</v>
      </c>
      <c r="L230" s="59">
        <f t="shared" si="14"/>
        <v>88</v>
      </c>
      <c r="M230" s="90">
        <f t="shared" si="15"/>
        <v>0</v>
      </c>
      <c r="N230" s="37">
        <v>229</v>
      </c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</row>
    <row r="231" spans="2:31" ht="17.25" thickTop="1" thickBot="1">
      <c r="B231">
        <f>wyniki!B275</f>
        <v>0</v>
      </c>
      <c r="C231" s="56">
        <f>wyniki!I275</f>
        <v>0</v>
      </c>
      <c r="D231" s="18">
        <v>2.3E-3</v>
      </c>
      <c r="E231" s="56">
        <f t="shared" si="12"/>
        <v>2.3E-3</v>
      </c>
      <c r="F231">
        <f>wyniki!$A$273</f>
        <v>0</v>
      </c>
      <c r="J231" s="79">
        <f t="shared" si="13"/>
        <v>0</v>
      </c>
      <c r="K231" s="69">
        <f>LARGE($E$2:$E$241,230)</f>
        <v>8.7000000000000001E-4</v>
      </c>
      <c r="L231" s="59">
        <f t="shared" si="14"/>
        <v>87</v>
      </c>
      <c r="M231" s="90">
        <f t="shared" si="15"/>
        <v>0</v>
      </c>
      <c r="N231" s="37">
        <v>230</v>
      </c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</row>
    <row r="232" spans="2:31" ht="17.25" thickTop="1" thickBot="1">
      <c r="B232">
        <f>wyniki!B276</f>
        <v>0</v>
      </c>
      <c r="C232" s="56">
        <f>wyniki!I276</f>
        <v>0</v>
      </c>
      <c r="D232" s="18">
        <v>2.31E-3</v>
      </c>
      <c r="E232" s="56">
        <f t="shared" si="12"/>
        <v>2.31E-3</v>
      </c>
      <c r="F232">
        <f>wyniki!$A$273</f>
        <v>0</v>
      </c>
      <c r="J232" s="79">
        <f t="shared" si="13"/>
        <v>0</v>
      </c>
      <c r="K232" s="69">
        <f>LARGE($E$2:$E$241,231)</f>
        <v>8.5999999999999998E-4</v>
      </c>
      <c r="L232" s="59">
        <f t="shared" si="14"/>
        <v>86</v>
      </c>
      <c r="M232" s="90">
        <f t="shared" si="15"/>
        <v>0</v>
      </c>
      <c r="N232" s="37">
        <v>231</v>
      </c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</row>
    <row r="233" spans="2:31" ht="17.25" thickTop="1" thickBot="1">
      <c r="B233">
        <f>wyniki!B277</f>
        <v>0</v>
      </c>
      <c r="C233" s="56">
        <f>wyniki!I277</f>
        <v>0</v>
      </c>
      <c r="D233" s="18">
        <v>2.32E-3</v>
      </c>
      <c r="E233" s="56">
        <f t="shared" si="12"/>
        <v>2.32E-3</v>
      </c>
      <c r="F233">
        <f>wyniki!$A$273</f>
        <v>0</v>
      </c>
      <c r="J233" s="79">
        <f t="shared" si="13"/>
        <v>0</v>
      </c>
      <c r="K233" s="69">
        <f>LARGE($E$2:$E$241,232)</f>
        <v>8.4999999999999995E-4</v>
      </c>
      <c r="L233" s="59">
        <f t="shared" si="14"/>
        <v>85</v>
      </c>
      <c r="M233" s="90">
        <f t="shared" si="15"/>
        <v>0</v>
      </c>
      <c r="N233" s="37">
        <v>232</v>
      </c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</row>
    <row r="234" spans="2:31" ht="17.25" thickTop="1" thickBot="1">
      <c r="B234">
        <f>wyniki!B278</f>
        <v>0</v>
      </c>
      <c r="C234" s="56">
        <f>wyniki!I278</f>
        <v>0</v>
      </c>
      <c r="D234" s="18">
        <v>2.33E-3</v>
      </c>
      <c r="E234" s="56">
        <f t="shared" si="12"/>
        <v>2.33E-3</v>
      </c>
      <c r="F234">
        <f>wyniki!$A$273</f>
        <v>0</v>
      </c>
      <c r="J234" s="79">
        <f t="shared" si="13"/>
        <v>0</v>
      </c>
      <c r="K234" s="69">
        <f>LARGE($E$2:$E$241,233)</f>
        <v>8.4000000000000003E-4</v>
      </c>
      <c r="L234" s="59">
        <f t="shared" si="14"/>
        <v>84</v>
      </c>
      <c r="M234" s="90">
        <f t="shared" si="15"/>
        <v>0</v>
      </c>
      <c r="N234" s="37">
        <v>233</v>
      </c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</row>
    <row r="235" spans="2:31" ht="17.25" thickTop="1" thickBot="1">
      <c r="B235">
        <f>wyniki!B279</f>
        <v>0</v>
      </c>
      <c r="C235" s="56">
        <f>wyniki!I279</f>
        <v>0</v>
      </c>
      <c r="D235" s="18">
        <v>2.3400000000000001E-3</v>
      </c>
      <c r="E235" s="56">
        <f t="shared" si="12"/>
        <v>2.3400000000000001E-3</v>
      </c>
      <c r="F235">
        <f>wyniki!$A$273</f>
        <v>0</v>
      </c>
      <c r="J235" s="79">
        <f t="shared" si="13"/>
        <v>0</v>
      </c>
      <c r="K235" s="69">
        <f>LARGE($E$2:$E$241,234)</f>
        <v>8.3000000000000001E-4</v>
      </c>
      <c r="L235" s="59">
        <f t="shared" si="14"/>
        <v>83</v>
      </c>
      <c r="M235" s="90">
        <f t="shared" si="15"/>
        <v>0</v>
      </c>
      <c r="N235" s="37">
        <v>234</v>
      </c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</row>
    <row r="236" spans="2:31" ht="17.25" thickTop="1" thickBot="1">
      <c r="B236">
        <f>wyniki!B281</f>
        <v>0</v>
      </c>
      <c r="C236" s="56">
        <f>wyniki!I281</f>
        <v>0</v>
      </c>
      <c r="D236" s="18">
        <v>2.3500000000000001E-3</v>
      </c>
      <c r="E236" s="56">
        <f t="shared" si="12"/>
        <v>2.3500000000000001E-3</v>
      </c>
      <c r="F236">
        <f>wyniki!$A$280</f>
        <v>0</v>
      </c>
      <c r="J236" s="79">
        <f t="shared" si="13"/>
        <v>0</v>
      </c>
      <c r="K236" s="69">
        <f>LARGE($E$2:$E$241,235)</f>
        <v>8.1999999999999998E-4</v>
      </c>
      <c r="L236" s="59">
        <f t="shared" si="14"/>
        <v>82</v>
      </c>
      <c r="M236" s="90">
        <f t="shared" si="15"/>
        <v>0</v>
      </c>
      <c r="N236" s="37">
        <v>235</v>
      </c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</row>
    <row r="237" spans="2:31" ht="17.25" thickTop="1" thickBot="1">
      <c r="B237">
        <f>wyniki!B282</f>
        <v>0</v>
      </c>
      <c r="C237" s="56">
        <f>wyniki!I282</f>
        <v>0</v>
      </c>
      <c r="D237" s="18">
        <v>2.3600000000000001E-3</v>
      </c>
      <c r="E237" s="56">
        <f t="shared" si="12"/>
        <v>2.3600000000000001E-3</v>
      </c>
      <c r="F237">
        <f>wyniki!$A$280</f>
        <v>0</v>
      </c>
      <c r="J237" s="79">
        <f t="shared" si="13"/>
        <v>0</v>
      </c>
      <c r="K237" s="69">
        <f>LARGE($E$2:$E$241,236)</f>
        <v>8.0999999999999996E-4</v>
      </c>
      <c r="L237" s="59">
        <f t="shared" si="14"/>
        <v>81</v>
      </c>
      <c r="M237" s="90">
        <f t="shared" si="15"/>
        <v>0</v>
      </c>
      <c r="N237" s="37">
        <v>236</v>
      </c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</row>
    <row r="238" spans="2:31" ht="17.25" thickTop="1" thickBot="1">
      <c r="B238">
        <f>wyniki!B283</f>
        <v>0</v>
      </c>
      <c r="C238" s="56">
        <f>wyniki!I283</f>
        <v>0</v>
      </c>
      <c r="D238" s="18">
        <v>2.3700000000000001E-3</v>
      </c>
      <c r="E238" s="56">
        <f t="shared" si="12"/>
        <v>2.3700000000000001E-3</v>
      </c>
      <c r="F238">
        <f>wyniki!$A$280</f>
        <v>0</v>
      </c>
      <c r="J238" s="79">
        <f t="shared" si="13"/>
        <v>0</v>
      </c>
      <c r="K238" s="69">
        <f>LARGE($E$2:$E$241,237)</f>
        <v>8.0000000000000004E-4</v>
      </c>
      <c r="L238" s="59">
        <f t="shared" si="14"/>
        <v>80</v>
      </c>
      <c r="M238" s="90">
        <f t="shared" si="15"/>
        <v>0</v>
      </c>
      <c r="N238" s="37">
        <v>237</v>
      </c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</row>
    <row r="239" spans="2:31" ht="17.25" thickTop="1" thickBot="1">
      <c r="B239">
        <f>wyniki!B284</f>
        <v>0</v>
      </c>
      <c r="C239" s="56">
        <f>wyniki!I284</f>
        <v>0</v>
      </c>
      <c r="D239" s="18">
        <v>2.3800000000000002E-3</v>
      </c>
      <c r="E239" s="56">
        <f t="shared" si="12"/>
        <v>2.3800000000000002E-3</v>
      </c>
      <c r="F239">
        <f>wyniki!$A$280</f>
        <v>0</v>
      </c>
      <c r="J239" s="79">
        <f t="shared" si="13"/>
        <v>0</v>
      </c>
      <c r="K239" s="69">
        <f>LARGE($E$2:$E$241,238)</f>
        <v>7.9000000000000001E-4</v>
      </c>
      <c r="L239" s="59">
        <f t="shared" si="14"/>
        <v>79</v>
      </c>
      <c r="M239" s="90">
        <f t="shared" si="15"/>
        <v>0</v>
      </c>
      <c r="N239" s="37">
        <v>238</v>
      </c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</row>
    <row r="240" spans="2:31" ht="17.25" thickTop="1" thickBot="1">
      <c r="B240">
        <f>wyniki!B285</f>
        <v>0</v>
      </c>
      <c r="C240" s="56">
        <f>wyniki!I285</f>
        <v>0</v>
      </c>
      <c r="D240" s="18">
        <v>2.3900000000000002E-3</v>
      </c>
      <c r="E240" s="56">
        <f t="shared" si="12"/>
        <v>2.3900000000000002E-3</v>
      </c>
      <c r="F240">
        <f>wyniki!$A$280</f>
        <v>0</v>
      </c>
      <c r="J240" s="79">
        <f t="shared" si="13"/>
        <v>0</v>
      </c>
      <c r="K240" s="69">
        <f>LARGE($E$2:$E$241,239)</f>
        <v>7.2000000000000005E-4</v>
      </c>
      <c r="L240" s="59">
        <f t="shared" si="14"/>
        <v>72</v>
      </c>
      <c r="M240" s="90" t="str">
        <f t="shared" si="15"/>
        <v>SP2 Mława</v>
      </c>
      <c r="N240" s="37">
        <v>239</v>
      </c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</row>
    <row r="241" spans="1:42" ht="17.25" thickTop="1" thickBot="1">
      <c r="B241">
        <f>wyniki!B286</f>
        <v>0</v>
      </c>
      <c r="C241" s="56">
        <f>wyniki!I286</f>
        <v>0</v>
      </c>
      <c r="D241" s="18">
        <v>2.3999999999999998E-3</v>
      </c>
      <c r="E241" s="56">
        <f t="shared" si="12"/>
        <v>2.3999999999999998E-3</v>
      </c>
      <c r="F241">
        <f>wyniki!$A$280</f>
        <v>0</v>
      </c>
      <c r="J241" s="79">
        <f t="shared" si="13"/>
        <v>0</v>
      </c>
      <c r="K241" s="69">
        <f>LARGE($E$2:$E$241,240)</f>
        <v>1.2E-4</v>
      </c>
      <c r="L241" s="59">
        <f t="shared" si="14"/>
        <v>12</v>
      </c>
      <c r="M241" s="90" t="str">
        <f t="shared" si="15"/>
        <v>PSP24 Radom</v>
      </c>
      <c r="N241" s="37">
        <v>240</v>
      </c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</row>
    <row r="242" spans="1:42" ht="13.5" thickTop="1">
      <c r="A242" s="21"/>
      <c r="B242" s="21"/>
      <c r="C242" s="21"/>
      <c r="D242" s="21"/>
      <c r="E242" s="21"/>
      <c r="F242" s="21"/>
      <c r="G242" s="21"/>
      <c r="H242" s="21"/>
      <c r="I242" s="21"/>
      <c r="J242" s="86"/>
      <c r="K242" s="72"/>
      <c r="L242" s="21"/>
      <c r="M242" s="86"/>
      <c r="N242" s="74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</row>
    <row r="243" spans="1:42">
      <c r="A243" s="21"/>
      <c r="B243" s="21"/>
      <c r="C243" s="21"/>
      <c r="D243" s="21"/>
      <c r="E243" s="21"/>
      <c r="F243" s="21"/>
      <c r="G243" s="21"/>
      <c r="H243" s="21"/>
      <c r="I243" s="21"/>
      <c r="J243" s="86"/>
      <c r="K243" s="72"/>
      <c r="L243" s="21"/>
      <c r="M243" s="86"/>
      <c r="N243" s="74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</row>
    <row r="244" spans="1:42">
      <c r="A244" s="21"/>
      <c r="B244" s="21"/>
      <c r="C244" s="21"/>
      <c r="D244" s="21"/>
      <c r="E244" s="21"/>
      <c r="F244" s="21"/>
      <c r="G244" s="21"/>
      <c r="H244" s="21"/>
      <c r="I244" s="21"/>
      <c r="J244" s="86"/>
      <c r="K244" s="72"/>
      <c r="L244" s="21"/>
      <c r="M244" s="86"/>
      <c r="N244" s="74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</row>
    <row r="245" spans="1:42">
      <c r="A245" s="21"/>
      <c r="B245" s="21"/>
      <c r="C245" s="21"/>
      <c r="D245" s="21"/>
      <c r="E245" s="21"/>
      <c r="F245" s="21"/>
      <c r="G245" s="21"/>
      <c r="H245" s="21"/>
      <c r="I245" s="21"/>
      <c r="J245" s="86"/>
      <c r="K245" s="72"/>
      <c r="L245" s="21"/>
      <c r="M245" s="86"/>
      <c r="N245" s="74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</row>
    <row r="246" spans="1:42">
      <c r="A246" s="21"/>
      <c r="B246" s="21"/>
      <c r="C246" s="21"/>
      <c r="D246" s="21"/>
      <c r="E246" s="21"/>
      <c r="F246" s="21"/>
      <c r="G246" s="21"/>
      <c r="H246" s="21"/>
      <c r="I246" s="21"/>
      <c r="J246" s="86"/>
      <c r="K246" s="72"/>
      <c r="L246" s="21"/>
      <c r="M246" s="86"/>
      <c r="N246" s="74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</row>
    <row r="247" spans="1:42">
      <c r="A247" s="21"/>
      <c r="B247" s="21"/>
      <c r="C247" s="21"/>
      <c r="D247" s="21"/>
      <c r="E247" s="21"/>
      <c r="F247" s="21"/>
      <c r="G247" s="21"/>
      <c r="H247" s="21"/>
      <c r="I247" s="21"/>
      <c r="J247" s="86"/>
      <c r="K247" s="72"/>
      <c r="L247" s="21"/>
      <c r="M247" s="86"/>
      <c r="N247" s="74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</row>
    <row r="248" spans="1:42">
      <c r="A248" s="21"/>
      <c r="B248" s="21"/>
      <c r="C248" s="21"/>
      <c r="D248" s="21"/>
      <c r="E248" s="21"/>
      <c r="F248" s="21"/>
      <c r="G248" s="21"/>
      <c r="H248" s="21"/>
      <c r="I248" s="21"/>
      <c r="J248" s="86"/>
      <c r="K248" s="72"/>
      <c r="L248" s="21"/>
      <c r="M248" s="86"/>
      <c r="N248" s="74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</row>
    <row r="249" spans="1:42">
      <c r="A249" s="21"/>
      <c r="B249" s="21"/>
      <c r="C249" s="21"/>
      <c r="D249" s="21"/>
      <c r="E249" s="21"/>
      <c r="F249" s="21"/>
      <c r="G249" s="21"/>
      <c r="H249" s="21"/>
      <c r="I249" s="21"/>
      <c r="J249" s="86"/>
      <c r="K249" s="72"/>
      <c r="L249" s="21"/>
      <c r="M249" s="86"/>
      <c r="N249" s="74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</row>
    <row r="250" spans="1:42">
      <c r="A250" s="21"/>
      <c r="B250" s="21"/>
      <c r="C250" s="21"/>
      <c r="D250" s="21"/>
      <c r="E250" s="21"/>
      <c r="F250" s="21"/>
      <c r="G250" s="21"/>
      <c r="H250" s="21"/>
      <c r="I250" s="21"/>
      <c r="J250" s="86"/>
      <c r="K250" s="72"/>
      <c r="L250" s="21"/>
      <c r="M250" s="86"/>
      <c r="N250" s="74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</row>
    <row r="251" spans="1:42">
      <c r="A251" s="21"/>
      <c r="B251" s="21"/>
      <c r="C251" s="21"/>
      <c r="D251" s="21"/>
      <c r="E251" s="21"/>
      <c r="F251" s="21"/>
      <c r="G251" s="21"/>
      <c r="H251" s="21"/>
      <c r="I251" s="21"/>
      <c r="J251" s="86"/>
      <c r="K251" s="72"/>
      <c r="L251" s="21"/>
      <c r="M251" s="86"/>
      <c r="N251" s="74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</row>
    <row r="252" spans="1:42">
      <c r="A252" s="21"/>
      <c r="B252" s="21"/>
      <c r="C252" s="21"/>
      <c r="D252" s="21"/>
      <c r="E252" s="21"/>
      <c r="F252" s="21"/>
      <c r="G252" s="21"/>
      <c r="H252" s="21"/>
      <c r="I252" s="21"/>
      <c r="J252" s="86"/>
      <c r="K252" s="72"/>
      <c r="L252" s="21"/>
      <c r="M252" s="86"/>
      <c r="N252" s="74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</row>
    <row r="253" spans="1:42">
      <c r="A253" s="21"/>
      <c r="B253" s="21"/>
      <c r="C253" s="21"/>
      <c r="D253" s="21"/>
      <c r="E253" s="21"/>
      <c r="F253" s="21"/>
      <c r="G253" s="21"/>
      <c r="H253" s="21"/>
      <c r="I253" s="21"/>
      <c r="J253" s="86"/>
      <c r="K253" s="72"/>
      <c r="L253" s="21"/>
      <c r="M253" s="86"/>
      <c r="N253" s="74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</row>
    <row r="254" spans="1:42">
      <c r="A254" s="21"/>
      <c r="B254" s="21"/>
      <c r="C254" s="21"/>
      <c r="D254" s="21"/>
      <c r="E254" s="21"/>
      <c r="F254" s="21"/>
      <c r="G254" s="21"/>
      <c r="H254" s="21"/>
      <c r="I254" s="21"/>
      <c r="J254" s="86"/>
      <c r="K254" s="72"/>
      <c r="L254" s="21"/>
      <c r="M254" s="86"/>
      <c r="N254" s="74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</row>
    <row r="255" spans="1:42">
      <c r="A255" s="21"/>
      <c r="B255" s="21"/>
      <c r="C255" s="21"/>
      <c r="D255" s="21"/>
      <c r="E255" s="21"/>
      <c r="F255" s="21"/>
      <c r="G255" s="21"/>
      <c r="H255" s="21"/>
      <c r="I255" s="21"/>
      <c r="J255" s="86"/>
      <c r="K255" s="72"/>
      <c r="L255" s="21"/>
      <c r="M255" s="86"/>
      <c r="N255" s="74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</row>
    <row r="256" spans="1:42">
      <c r="A256" s="21"/>
      <c r="B256" s="21"/>
      <c r="C256" s="21"/>
      <c r="D256" s="21"/>
      <c r="E256" s="21"/>
      <c r="F256" s="21"/>
      <c r="G256" s="21"/>
      <c r="H256" s="21"/>
      <c r="I256" s="21"/>
      <c r="J256" s="86"/>
      <c r="K256" s="72"/>
      <c r="L256" s="21"/>
      <c r="M256" s="86"/>
      <c r="N256" s="74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</row>
    <row r="257" spans="1:42">
      <c r="A257" s="21"/>
      <c r="B257" s="21"/>
      <c r="C257" s="21"/>
      <c r="D257" s="21"/>
      <c r="E257" s="21"/>
      <c r="F257" s="21"/>
      <c r="G257" s="21"/>
      <c r="H257" s="21"/>
      <c r="I257" s="21"/>
      <c r="J257" s="86"/>
      <c r="K257" s="72"/>
      <c r="L257" s="21"/>
      <c r="M257" s="86"/>
      <c r="N257" s="74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</row>
    <row r="258" spans="1:42">
      <c r="A258" s="21"/>
      <c r="B258" s="21"/>
      <c r="C258" s="21"/>
      <c r="D258" s="21"/>
      <c r="E258" s="21"/>
      <c r="F258" s="21"/>
      <c r="G258" s="21"/>
      <c r="H258" s="21"/>
      <c r="I258" s="21"/>
      <c r="J258" s="86"/>
      <c r="K258" s="72"/>
      <c r="L258" s="21"/>
      <c r="M258" s="86"/>
      <c r="N258" s="74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</row>
    <row r="259" spans="1:42">
      <c r="A259" s="21"/>
      <c r="B259" s="21"/>
      <c r="C259" s="21"/>
      <c r="D259" s="21"/>
      <c r="E259" s="21"/>
      <c r="F259" s="21"/>
      <c r="G259" s="21"/>
      <c r="H259" s="21"/>
      <c r="I259" s="21"/>
      <c r="J259" s="86"/>
      <c r="K259" s="72"/>
      <c r="L259" s="21"/>
      <c r="M259" s="86"/>
      <c r="N259" s="74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</row>
    <row r="260" spans="1:42">
      <c r="A260" s="21"/>
      <c r="B260" s="21"/>
      <c r="C260" s="21"/>
      <c r="D260" s="21"/>
      <c r="E260" s="21"/>
      <c r="F260" s="21"/>
      <c r="G260" s="21"/>
      <c r="H260" s="21"/>
      <c r="I260" s="21"/>
      <c r="J260" s="86"/>
      <c r="K260" s="72"/>
      <c r="L260" s="21"/>
      <c r="M260" s="86"/>
      <c r="N260" s="74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</row>
    <row r="261" spans="1:42">
      <c r="A261" s="21"/>
      <c r="B261" s="21"/>
      <c r="C261" s="21"/>
      <c r="D261" s="21"/>
      <c r="E261" s="21"/>
      <c r="F261" s="21"/>
      <c r="G261" s="21"/>
      <c r="H261" s="21"/>
      <c r="I261" s="21"/>
      <c r="J261" s="86"/>
      <c r="K261" s="72"/>
      <c r="L261" s="21"/>
      <c r="M261" s="86"/>
      <c r="N261" s="74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</row>
    <row r="262" spans="1:42">
      <c r="A262" s="21"/>
      <c r="B262" s="21"/>
      <c r="C262" s="21"/>
      <c r="D262" s="21"/>
      <c r="E262" s="21"/>
      <c r="F262" s="21"/>
      <c r="G262" s="21"/>
      <c r="H262" s="21"/>
      <c r="I262" s="21"/>
      <c r="J262" s="86"/>
      <c r="K262" s="72"/>
      <c r="L262" s="21"/>
      <c r="M262" s="86"/>
      <c r="N262" s="74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</row>
    <row r="263" spans="1:42">
      <c r="A263" s="21"/>
      <c r="B263" s="21"/>
      <c r="C263" s="21"/>
      <c r="D263" s="21"/>
      <c r="E263" s="21"/>
      <c r="F263" s="21"/>
      <c r="G263" s="21"/>
      <c r="H263" s="21"/>
      <c r="I263" s="21"/>
      <c r="J263" s="86"/>
      <c r="K263" s="72"/>
      <c r="L263" s="21"/>
      <c r="M263" s="86"/>
      <c r="N263" s="74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</row>
    <row r="264" spans="1:42">
      <c r="A264" s="21"/>
      <c r="B264" s="21"/>
      <c r="C264" s="21"/>
      <c r="D264" s="21"/>
      <c r="E264" s="21"/>
      <c r="F264" s="21"/>
      <c r="G264" s="21"/>
      <c r="H264" s="21"/>
      <c r="I264" s="21"/>
      <c r="J264" s="86"/>
      <c r="K264" s="72"/>
      <c r="L264" s="21"/>
      <c r="M264" s="86"/>
      <c r="N264" s="74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</row>
    <row r="265" spans="1:42">
      <c r="A265" s="21"/>
      <c r="B265" s="21"/>
      <c r="C265" s="21"/>
      <c r="D265" s="21"/>
      <c r="E265" s="21"/>
      <c r="F265" s="21"/>
      <c r="G265" s="21"/>
      <c r="H265" s="21"/>
      <c r="I265" s="21"/>
      <c r="J265" s="86"/>
      <c r="K265" s="72"/>
      <c r="L265" s="21"/>
      <c r="M265" s="86"/>
      <c r="N265" s="74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</row>
    <row r="266" spans="1:42">
      <c r="A266" s="21"/>
      <c r="B266" s="21"/>
      <c r="C266" s="21"/>
      <c r="D266" s="21"/>
      <c r="E266" s="21"/>
      <c r="F266" s="21"/>
      <c r="G266" s="21"/>
      <c r="H266" s="21"/>
      <c r="I266" s="21"/>
      <c r="J266" s="86"/>
      <c r="K266" s="72"/>
      <c r="L266" s="21"/>
      <c r="M266" s="86"/>
      <c r="N266" s="74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</row>
    <row r="267" spans="1:42">
      <c r="A267" s="21"/>
      <c r="B267" s="21"/>
      <c r="C267" s="21"/>
      <c r="D267" s="21"/>
      <c r="E267" s="21"/>
      <c r="F267" s="21"/>
      <c r="G267" s="21"/>
      <c r="H267" s="21"/>
      <c r="I267" s="21"/>
      <c r="J267" s="86"/>
      <c r="K267" s="72"/>
      <c r="L267" s="21"/>
      <c r="M267" s="86"/>
      <c r="N267" s="74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</row>
    <row r="268" spans="1:42">
      <c r="A268" s="21"/>
      <c r="B268" s="21"/>
      <c r="C268" s="21"/>
      <c r="D268" s="21"/>
      <c r="E268" s="21"/>
      <c r="F268" s="21"/>
      <c r="G268" s="21"/>
      <c r="H268" s="21"/>
      <c r="I268" s="21"/>
      <c r="J268" s="86"/>
      <c r="K268" s="72"/>
      <c r="L268" s="21"/>
      <c r="M268" s="86"/>
      <c r="N268" s="74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</row>
    <row r="269" spans="1:42">
      <c r="A269" s="21"/>
      <c r="B269" s="21"/>
      <c r="C269" s="21"/>
      <c r="D269" s="21"/>
      <c r="E269" s="21"/>
      <c r="F269" s="21"/>
      <c r="G269" s="21"/>
      <c r="H269" s="21"/>
      <c r="I269" s="21"/>
      <c r="J269" s="86"/>
      <c r="K269" s="72"/>
      <c r="L269" s="21"/>
      <c r="M269" s="86"/>
      <c r="N269" s="74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</row>
    <row r="270" spans="1:42">
      <c r="A270" s="21"/>
      <c r="B270" s="21"/>
      <c r="C270" s="21"/>
      <c r="D270" s="21"/>
      <c r="E270" s="21"/>
      <c r="F270" s="21"/>
      <c r="G270" s="21"/>
      <c r="H270" s="21"/>
      <c r="I270" s="21"/>
      <c r="J270" s="86"/>
      <c r="K270" s="72"/>
      <c r="L270" s="21"/>
      <c r="M270" s="86"/>
      <c r="N270" s="74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</row>
    <row r="271" spans="1:42">
      <c r="A271" s="21"/>
      <c r="B271" s="21"/>
      <c r="C271" s="21"/>
      <c r="D271" s="21"/>
      <c r="E271" s="21"/>
      <c r="F271" s="21"/>
      <c r="G271" s="21"/>
      <c r="H271" s="21"/>
      <c r="I271" s="21"/>
      <c r="J271" s="86"/>
      <c r="K271" s="72"/>
      <c r="L271" s="21"/>
      <c r="M271" s="86"/>
      <c r="N271" s="74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</row>
    <row r="272" spans="1:42">
      <c r="A272" s="21"/>
      <c r="B272" s="21"/>
      <c r="C272" s="21"/>
      <c r="D272" s="21"/>
      <c r="E272" s="21"/>
      <c r="F272" s="21"/>
      <c r="G272" s="21"/>
      <c r="H272" s="21"/>
      <c r="I272" s="21"/>
      <c r="J272" s="86"/>
      <c r="K272" s="72"/>
      <c r="L272" s="21"/>
      <c r="M272" s="86"/>
      <c r="N272" s="74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</row>
    <row r="273" spans="1:42">
      <c r="A273" s="21"/>
      <c r="B273" s="21"/>
      <c r="C273" s="21"/>
      <c r="D273" s="21"/>
      <c r="E273" s="21"/>
      <c r="F273" s="21"/>
      <c r="G273" s="21"/>
      <c r="H273" s="21"/>
      <c r="I273" s="21"/>
      <c r="J273" s="86"/>
      <c r="K273" s="72"/>
      <c r="L273" s="21"/>
      <c r="M273" s="86"/>
      <c r="N273" s="74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</row>
    <row r="274" spans="1:42">
      <c r="A274" s="21"/>
      <c r="B274" s="21"/>
      <c r="C274" s="21"/>
      <c r="D274" s="21"/>
      <c r="E274" s="21"/>
      <c r="F274" s="21"/>
      <c r="G274" s="21"/>
      <c r="H274" s="21"/>
      <c r="I274" s="21"/>
      <c r="J274" s="86"/>
      <c r="K274" s="72"/>
      <c r="L274" s="21"/>
      <c r="M274" s="86"/>
      <c r="N274" s="74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</row>
    <row r="275" spans="1:42">
      <c r="A275" s="21"/>
      <c r="B275" s="21"/>
      <c r="C275" s="21"/>
      <c r="D275" s="21"/>
      <c r="E275" s="21"/>
      <c r="F275" s="21"/>
      <c r="G275" s="21"/>
      <c r="H275" s="21"/>
      <c r="I275" s="21"/>
      <c r="J275" s="86"/>
      <c r="K275" s="72"/>
      <c r="L275" s="21"/>
      <c r="M275" s="86"/>
      <c r="N275" s="74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</row>
    <row r="276" spans="1:42">
      <c r="A276" s="21"/>
      <c r="B276" s="21"/>
      <c r="C276" s="21"/>
      <c r="D276" s="21"/>
      <c r="E276" s="21"/>
      <c r="F276" s="21"/>
      <c r="G276" s="21"/>
      <c r="H276" s="21"/>
      <c r="I276" s="21"/>
      <c r="J276" s="86"/>
      <c r="K276" s="72"/>
      <c r="L276" s="21"/>
      <c r="M276" s="86"/>
      <c r="N276" s="74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</row>
    <row r="277" spans="1:42">
      <c r="A277" s="21"/>
      <c r="B277" s="21"/>
      <c r="C277" s="21"/>
      <c r="D277" s="21"/>
      <c r="E277" s="21"/>
      <c r="F277" s="21"/>
      <c r="G277" s="21"/>
      <c r="H277" s="21"/>
      <c r="I277" s="21"/>
      <c r="J277" s="86"/>
      <c r="K277" s="72"/>
      <c r="L277" s="21"/>
      <c r="M277" s="86"/>
      <c r="N277" s="74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</row>
    <row r="278" spans="1:42">
      <c r="A278" s="21"/>
      <c r="B278" s="21"/>
      <c r="C278" s="21"/>
      <c r="D278" s="21"/>
      <c r="E278" s="21"/>
      <c r="F278" s="21"/>
      <c r="G278" s="21"/>
      <c r="H278" s="21"/>
      <c r="I278" s="21"/>
      <c r="J278" s="86"/>
      <c r="K278" s="72"/>
      <c r="L278" s="21"/>
      <c r="M278" s="86"/>
      <c r="N278" s="74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</row>
    <row r="279" spans="1:42">
      <c r="A279" s="21"/>
      <c r="B279" s="21"/>
      <c r="C279" s="21"/>
      <c r="D279" s="21"/>
      <c r="E279" s="21"/>
      <c r="F279" s="21"/>
      <c r="G279" s="21"/>
      <c r="H279" s="21"/>
      <c r="I279" s="21"/>
      <c r="J279" s="86"/>
      <c r="K279" s="72"/>
      <c r="L279" s="21"/>
      <c r="M279" s="86"/>
      <c r="N279" s="74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</row>
    <row r="280" spans="1:42">
      <c r="A280" s="21"/>
      <c r="B280" s="21"/>
      <c r="C280" s="21"/>
      <c r="D280" s="21"/>
      <c r="E280" s="21"/>
      <c r="F280" s="21"/>
      <c r="G280" s="21"/>
      <c r="H280" s="21"/>
      <c r="I280" s="21"/>
      <c r="J280" s="86"/>
      <c r="K280" s="72"/>
      <c r="L280" s="21"/>
      <c r="M280" s="86"/>
      <c r="N280" s="74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</row>
    <row r="281" spans="1:42">
      <c r="A281" s="21"/>
      <c r="B281" s="21"/>
      <c r="C281" s="21"/>
      <c r="D281" s="21"/>
      <c r="E281" s="21"/>
      <c r="F281" s="21"/>
      <c r="G281" s="21"/>
      <c r="H281" s="21"/>
      <c r="I281" s="21"/>
      <c r="J281" s="86"/>
      <c r="K281" s="72"/>
      <c r="L281" s="21"/>
      <c r="M281" s="86"/>
      <c r="N281" s="74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</row>
    <row r="282" spans="1:42">
      <c r="A282" s="21"/>
      <c r="B282" s="21"/>
      <c r="C282" s="21"/>
      <c r="D282" s="21"/>
      <c r="E282" s="21"/>
      <c r="F282" s="21"/>
      <c r="G282" s="21"/>
      <c r="H282" s="21"/>
      <c r="I282" s="21"/>
      <c r="J282" s="86"/>
      <c r="K282" s="72"/>
      <c r="L282" s="21"/>
      <c r="M282" s="86"/>
      <c r="N282" s="74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</row>
    <row r="283" spans="1:42">
      <c r="A283" s="21"/>
      <c r="B283" s="21"/>
      <c r="C283" s="21"/>
      <c r="D283" s="21"/>
      <c r="E283" s="21"/>
      <c r="F283" s="21"/>
      <c r="G283" s="21"/>
      <c r="H283" s="21"/>
      <c r="I283" s="21"/>
      <c r="J283" s="86"/>
      <c r="K283" s="72"/>
      <c r="L283" s="21"/>
      <c r="M283" s="86"/>
      <c r="N283" s="74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</row>
    <row r="284" spans="1:42">
      <c r="A284" s="21"/>
      <c r="B284" s="21"/>
      <c r="C284" s="21"/>
      <c r="D284" s="21"/>
      <c r="E284" s="21"/>
      <c r="F284" s="21"/>
      <c r="G284" s="21"/>
      <c r="H284" s="21"/>
      <c r="I284" s="21"/>
      <c r="J284" s="86"/>
      <c r="K284" s="72"/>
      <c r="L284" s="21"/>
      <c r="M284" s="86"/>
      <c r="N284" s="74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</row>
    <row r="285" spans="1:42">
      <c r="A285" s="21"/>
      <c r="B285" s="21"/>
      <c r="C285" s="21"/>
      <c r="D285" s="21"/>
      <c r="E285" s="21"/>
      <c r="F285" s="21"/>
      <c r="G285" s="21"/>
      <c r="H285" s="21"/>
      <c r="I285" s="21"/>
      <c r="J285" s="86"/>
      <c r="K285" s="72"/>
      <c r="L285" s="21"/>
      <c r="M285" s="86"/>
      <c r="N285" s="74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</row>
    <row r="286" spans="1:42">
      <c r="A286" s="21"/>
      <c r="B286" s="21"/>
      <c r="C286" s="21"/>
      <c r="D286" s="21"/>
      <c r="E286" s="21"/>
      <c r="F286" s="21"/>
      <c r="G286" s="21"/>
      <c r="H286" s="21"/>
      <c r="I286" s="21"/>
      <c r="J286" s="86"/>
      <c r="K286" s="72"/>
      <c r="L286" s="21"/>
      <c r="M286" s="86"/>
      <c r="N286" s="74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</row>
    <row r="287" spans="1:42">
      <c r="A287" s="21"/>
      <c r="B287" s="21"/>
      <c r="C287" s="21"/>
      <c r="D287" s="21"/>
      <c r="E287" s="21"/>
      <c r="F287" s="21"/>
      <c r="G287" s="21"/>
      <c r="H287" s="21"/>
      <c r="I287" s="21"/>
      <c r="J287" s="86"/>
      <c r="K287" s="72"/>
      <c r="L287" s="21"/>
      <c r="M287" s="86"/>
      <c r="N287" s="74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</row>
    <row r="288" spans="1:42">
      <c r="A288" s="21"/>
      <c r="B288" s="21"/>
      <c r="C288" s="21"/>
      <c r="D288" s="21"/>
      <c r="E288" s="21"/>
      <c r="F288" s="21"/>
      <c r="G288" s="21"/>
      <c r="H288" s="21"/>
      <c r="I288" s="21"/>
      <c r="J288" s="86"/>
      <c r="K288" s="72"/>
      <c r="L288" s="21"/>
      <c r="M288" s="86"/>
      <c r="N288" s="74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</row>
    <row r="289" spans="1:42">
      <c r="A289" s="21"/>
      <c r="B289" s="21"/>
      <c r="C289" s="21"/>
      <c r="D289" s="21"/>
      <c r="E289" s="21"/>
      <c r="F289" s="21"/>
      <c r="G289" s="21"/>
      <c r="H289" s="21"/>
      <c r="I289" s="21"/>
      <c r="J289" s="86"/>
      <c r="K289" s="72"/>
      <c r="L289" s="21"/>
      <c r="M289" s="86"/>
      <c r="N289" s="74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</row>
    <row r="290" spans="1:42">
      <c r="A290" s="21"/>
      <c r="B290" s="21"/>
      <c r="C290" s="21"/>
      <c r="D290" s="21"/>
      <c r="E290" s="21"/>
      <c r="F290" s="21"/>
      <c r="G290" s="21"/>
      <c r="H290" s="21"/>
      <c r="I290" s="21"/>
      <c r="J290" s="86"/>
      <c r="K290" s="72"/>
      <c r="L290" s="21"/>
      <c r="M290" s="86"/>
      <c r="N290" s="74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</row>
    <row r="291" spans="1:42">
      <c r="A291" s="21"/>
      <c r="B291" s="21"/>
      <c r="C291" s="21"/>
      <c r="D291" s="21"/>
      <c r="E291" s="21"/>
      <c r="F291" s="21"/>
      <c r="G291" s="21"/>
      <c r="H291" s="21"/>
      <c r="I291" s="21"/>
      <c r="J291" s="86"/>
      <c r="K291" s="72"/>
      <c r="L291" s="21"/>
      <c r="M291" s="86"/>
      <c r="N291" s="74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</row>
    <row r="292" spans="1:42">
      <c r="A292" s="21"/>
      <c r="B292" s="21"/>
      <c r="C292" s="21"/>
      <c r="D292" s="21"/>
      <c r="E292" s="21"/>
      <c r="F292" s="21"/>
      <c r="G292" s="21"/>
      <c r="H292" s="21"/>
      <c r="I292" s="21"/>
      <c r="J292" s="86"/>
      <c r="K292" s="72"/>
      <c r="L292" s="21"/>
      <c r="M292" s="86"/>
      <c r="N292" s="74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</row>
    <row r="293" spans="1:42">
      <c r="A293" s="21"/>
      <c r="B293" s="21"/>
      <c r="C293" s="21"/>
      <c r="D293" s="21"/>
      <c r="E293" s="21"/>
      <c r="F293" s="21"/>
      <c r="G293" s="21"/>
      <c r="H293" s="21"/>
      <c r="I293" s="21"/>
      <c r="J293" s="86"/>
      <c r="K293" s="72"/>
      <c r="L293" s="21"/>
      <c r="M293" s="86"/>
      <c r="N293" s="74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</row>
    <row r="294" spans="1:42">
      <c r="A294" s="21"/>
      <c r="B294" s="21"/>
      <c r="C294" s="21"/>
      <c r="D294" s="21"/>
      <c r="E294" s="21"/>
      <c r="F294" s="21"/>
      <c r="G294" s="21"/>
      <c r="H294" s="21"/>
      <c r="I294" s="21"/>
      <c r="J294" s="86"/>
      <c r="K294" s="72"/>
      <c r="L294" s="21"/>
      <c r="M294" s="86"/>
      <c r="N294" s="74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</row>
    <row r="295" spans="1:42">
      <c r="A295" s="21"/>
      <c r="B295" s="21"/>
      <c r="C295" s="21"/>
      <c r="D295" s="21"/>
      <c r="E295" s="21"/>
      <c r="F295" s="21"/>
      <c r="G295" s="21"/>
      <c r="H295" s="21"/>
      <c r="I295" s="21"/>
      <c r="J295" s="86"/>
      <c r="K295" s="72"/>
      <c r="L295" s="21"/>
      <c r="M295" s="86"/>
      <c r="N295" s="74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</row>
    <row r="296" spans="1:42">
      <c r="A296" s="21"/>
      <c r="B296" s="21"/>
      <c r="C296" s="21"/>
      <c r="D296" s="21"/>
      <c r="E296" s="21"/>
      <c r="F296" s="21"/>
      <c r="G296" s="21"/>
      <c r="H296" s="21"/>
      <c r="I296" s="21"/>
      <c r="J296" s="86"/>
      <c r="K296" s="72"/>
      <c r="L296" s="21"/>
      <c r="M296" s="86"/>
      <c r="N296" s="74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</row>
    <row r="297" spans="1:42">
      <c r="A297" s="21"/>
      <c r="B297" s="21"/>
      <c r="C297" s="21"/>
      <c r="D297" s="21"/>
      <c r="E297" s="21"/>
      <c r="F297" s="21"/>
      <c r="G297" s="21"/>
      <c r="H297" s="21"/>
      <c r="I297" s="21"/>
      <c r="J297" s="86"/>
      <c r="K297" s="72"/>
      <c r="L297" s="21"/>
      <c r="M297" s="86"/>
      <c r="N297" s="74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</row>
    <row r="298" spans="1:42">
      <c r="A298" s="21"/>
      <c r="B298" s="21"/>
      <c r="C298" s="21"/>
      <c r="D298" s="21"/>
      <c r="E298" s="21"/>
      <c r="F298" s="21"/>
      <c r="G298" s="21"/>
      <c r="H298" s="21"/>
      <c r="I298" s="21"/>
      <c r="J298" s="86"/>
      <c r="K298" s="72"/>
      <c r="L298" s="21"/>
      <c r="M298" s="86"/>
      <c r="N298" s="74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</row>
    <row r="299" spans="1:42">
      <c r="A299" s="21"/>
      <c r="B299" s="21"/>
      <c r="C299" s="21"/>
      <c r="D299" s="21"/>
      <c r="E299" s="21"/>
      <c r="F299" s="21"/>
      <c r="G299" s="21"/>
      <c r="H299" s="21"/>
      <c r="I299" s="21"/>
      <c r="J299" s="86"/>
      <c r="K299" s="72"/>
      <c r="L299" s="21"/>
      <c r="M299" s="86"/>
      <c r="N299" s="74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</row>
    <row r="300" spans="1:42">
      <c r="A300" s="21"/>
      <c r="B300" s="21"/>
      <c r="C300" s="21"/>
      <c r="D300" s="21"/>
      <c r="E300" s="21"/>
      <c r="F300" s="21"/>
      <c r="G300" s="21"/>
      <c r="H300" s="21"/>
      <c r="I300" s="21"/>
      <c r="J300" s="86"/>
      <c r="K300" s="72"/>
      <c r="L300" s="21"/>
      <c r="M300" s="86"/>
      <c r="N300" s="74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</row>
    <row r="301" spans="1:42">
      <c r="A301" s="21"/>
      <c r="B301" s="21"/>
      <c r="C301" s="21"/>
      <c r="D301" s="21"/>
      <c r="E301" s="21"/>
      <c r="F301" s="21"/>
      <c r="G301" s="21"/>
      <c r="H301" s="21"/>
      <c r="I301" s="21"/>
      <c r="J301" s="86"/>
      <c r="K301" s="72"/>
      <c r="L301" s="21"/>
      <c r="M301" s="86"/>
      <c r="N301" s="74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</row>
    <row r="302" spans="1:42">
      <c r="A302" s="21"/>
      <c r="B302" s="21"/>
      <c r="C302" s="21"/>
      <c r="D302" s="21"/>
      <c r="E302" s="21"/>
      <c r="F302" s="21"/>
      <c r="G302" s="21"/>
      <c r="H302" s="21"/>
      <c r="I302" s="21"/>
      <c r="J302" s="86"/>
      <c r="K302" s="72"/>
      <c r="L302" s="21"/>
      <c r="M302" s="86"/>
      <c r="N302" s="74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</row>
    <row r="303" spans="1:42">
      <c r="A303" s="21"/>
      <c r="B303" s="21"/>
      <c r="C303" s="21"/>
      <c r="D303" s="21"/>
      <c r="E303" s="21"/>
      <c r="F303" s="21"/>
      <c r="G303" s="21"/>
      <c r="H303" s="21"/>
      <c r="I303" s="21"/>
      <c r="J303" s="86"/>
      <c r="K303" s="72"/>
      <c r="L303" s="21"/>
      <c r="M303" s="86"/>
      <c r="N303" s="74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</row>
    <row r="304" spans="1:42">
      <c r="A304" s="21"/>
      <c r="B304" s="21"/>
      <c r="C304" s="21"/>
      <c r="D304" s="21"/>
      <c r="E304" s="21"/>
      <c r="F304" s="21"/>
      <c r="G304" s="21"/>
      <c r="H304" s="21"/>
      <c r="I304" s="21"/>
      <c r="J304" s="86"/>
      <c r="K304" s="72"/>
      <c r="L304" s="21"/>
      <c r="M304" s="86"/>
      <c r="N304" s="74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</row>
    <row r="305" spans="1:42">
      <c r="A305" s="21"/>
      <c r="B305" s="21"/>
      <c r="C305" s="21"/>
      <c r="D305" s="21"/>
      <c r="E305" s="21"/>
      <c r="F305" s="21"/>
      <c r="G305" s="21"/>
      <c r="H305" s="21"/>
      <c r="I305" s="21"/>
      <c r="J305" s="86"/>
      <c r="K305" s="72"/>
      <c r="L305" s="21"/>
      <c r="M305" s="86"/>
      <c r="N305" s="74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</row>
    <row r="306" spans="1:42">
      <c r="A306" s="21"/>
      <c r="B306" s="21"/>
      <c r="C306" s="21"/>
      <c r="D306" s="21"/>
      <c r="E306" s="21"/>
      <c r="F306" s="21"/>
      <c r="G306" s="21"/>
      <c r="H306" s="21"/>
      <c r="I306" s="21"/>
      <c r="J306" s="86"/>
      <c r="K306" s="72"/>
      <c r="L306" s="21"/>
      <c r="M306" s="86"/>
      <c r="N306" s="74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</row>
    <row r="307" spans="1:42">
      <c r="A307" s="21"/>
      <c r="B307" s="21"/>
      <c r="C307" s="21"/>
      <c r="D307" s="21"/>
      <c r="E307" s="21"/>
      <c r="F307" s="21"/>
      <c r="G307" s="21"/>
      <c r="H307" s="21"/>
      <c r="I307" s="21"/>
      <c r="J307" s="86"/>
      <c r="K307" s="72"/>
      <c r="L307" s="21"/>
      <c r="M307" s="86"/>
      <c r="N307" s="74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</row>
    <row r="308" spans="1:42">
      <c r="A308" s="21"/>
      <c r="B308" s="21"/>
      <c r="C308" s="21"/>
      <c r="D308" s="21"/>
      <c r="E308" s="21"/>
      <c r="F308" s="21"/>
      <c r="G308" s="21"/>
      <c r="H308" s="21"/>
      <c r="I308" s="21"/>
      <c r="J308" s="86"/>
      <c r="K308" s="72"/>
      <c r="L308" s="21"/>
      <c r="M308" s="86"/>
      <c r="N308" s="74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</row>
    <row r="309" spans="1:42">
      <c r="A309" s="21"/>
      <c r="B309" s="21"/>
      <c r="C309" s="21"/>
      <c r="D309" s="21"/>
      <c r="E309" s="21"/>
      <c r="F309" s="21"/>
      <c r="G309" s="21"/>
      <c r="H309" s="21"/>
      <c r="I309" s="21"/>
      <c r="J309" s="86"/>
      <c r="K309" s="72"/>
      <c r="L309" s="21"/>
      <c r="M309" s="86"/>
      <c r="N309" s="74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</row>
    <row r="310" spans="1:42">
      <c r="A310" s="21"/>
      <c r="B310" s="21"/>
      <c r="C310" s="21"/>
      <c r="D310" s="21"/>
      <c r="E310" s="21"/>
      <c r="F310" s="21"/>
      <c r="G310" s="21"/>
      <c r="H310" s="21"/>
      <c r="I310" s="21"/>
      <c r="J310" s="86"/>
      <c r="K310" s="72"/>
      <c r="L310" s="21"/>
      <c r="M310" s="86"/>
      <c r="N310" s="74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</row>
    <row r="311" spans="1:42">
      <c r="A311" s="21"/>
      <c r="B311" s="21"/>
      <c r="C311" s="21"/>
      <c r="D311" s="21"/>
      <c r="E311" s="21"/>
      <c r="F311" s="21"/>
      <c r="G311" s="21"/>
      <c r="H311" s="21"/>
      <c r="I311" s="21"/>
      <c r="J311" s="86"/>
      <c r="K311" s="72"/>
      <c r="L311" s="21"/>
      <c r="M311" s="86"/>
      <c r="N311" s="74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</row>
    <row r="312" spans="1:42">
      <c r="A312" s="21"/>
      <c r="B312" s="21"/>
      <c r="C312" s="21"/>
      <c r="D312" s="21"/>
      <c r="E312" s="21"/>
      <c r="F312" s="21"/>
      <c r="G312" s="21"/>
      <c r="H312" s="21"/>
      <c r="I312" s="21"/>
      <c r="J312" s="86"/>
      <c r="K312" s="72"/>
      <c r="L312" s="21"/>
      <c r="M312" s="86"/>
      <c r="N312" s="74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</row>
    <row r="313" spans="1:42">
      <c r="A313" s="21"/>
      <c r="B313" s="21"/>
      <c r="C313" s="21"/>
      <c r="D313" s="21"/>
      <c r="E313" s="21"/>
      <c r="F313" s="21"/>
      <c r="G313" s="21"/>
      <c r="H313" s="21"/>
      <c r="I313" s="21"/>
      <c r="J313" s="86"/>
      <c r="K313" s="72"/>
      <c r="L313" s="21"/>
      <c r="M313" s="86"/>
      <c r="N313" s="74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</row>
    <row r="314" spans="1:42">
      <c r="A314" s="21"/>
      <c r="B314" s="21"/>
      <c r="C314" s="21"/>
      <c r="D314" s="21"/>
      <c r="E314" s="21"/>
      <c r="F314" s="21"/>
      <c r="G314" s="21"/>
      <c r="H314" s="21"/>
      <c r="I314" s="21"/>
      <c r="J314" s="86"/>
      <c r="K314" s="72"/>
      <c r="L314" s="21"/>
      <c r="M314" s="86"/>
      <c r="N314" s="74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</row>
    <row r="315" spans="1:42">
      <c r="A315" s="21"/>
      <c r="B315" s="21"/>
      <c r="C315" s="21"/>
      <c r="D315" s="21"/>
      <c r="E315" s="21"/>
      <c r="F315" s="21"/>
      <c r="G315" s="21"/>
      <c r="H315" s="21"/>
      <c r="I315" s="21"/>
      <c r="J315" s="86"/>
      <c r="K315" s="72"/>
      <c r="L315" s="21"/>
      <c r="M315" s="86"/>
      <c r="N315" s="74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</row>
    <row r="316" spans="1:42">
      <c r="A316" s="21"/>
      <c r="B316" s="21"/>
      <c r="C316" s="21"/>
      <c r="D316" s="21"/>
      <c r="E316" s="21"/>
      <c r="F316" s="21"/>
      <c r="G316" s="21"/>
      <c r="H316" s="21"/>
      <c r="I316" s="21"/>
      <c r="J316" s="86"/>
      <c r="K316" s="72"/>
      <c r="L316" s="21"/>
      <c r="M316" s="86"/>
      <c r="N316" s="74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</row>
    <row r="317" spans="1:42">
      <c r="A317" s="21"/>
      <c r="B317" s="21"/>
      <c r="C317" s="21"/>
      <c r="D317" s="21"/>
      <c r="E317" s="21"/>
      <c r="F317" s="21"/>
      <c r="G317" s="21"/>
      <c r="H317" s="21"/>
      <c r="I317" s="21"/>
      <c r="J317" s="86"/>
      <c r="K317" s="72"/>
      <c r="L317" s="21"/>
      <c r="M317" s="86"/>
      <c r="N317" s="74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</row>
    <row r="318" spans="1:42">
      <c r="A318" s="21"/>
      <c r="B318" s="21"/>
      <c r="C318" s="21"/>
      <c r="D318" s="21"/>
      <c r="E318" s="21"/>
      <c r="F318" s="21"/>
      <c r="G318" s="21"/>
      <c r="H318" s="21"/>
      <c r="I318" s="21"/>
      <c r="J318" s="86"/>
      <c r="K318" s="72"/>
      <c r="L318" s="21"/>
      <c r="M318" s="86"/>
      <c r="N318" s="74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</row>
    <row r="319" spans="1:42">
      <c r="A319" s="21"/>
      <c r="B319" s="21"/>
      <c r="C319" s="21"/>
      <c r="D319" s="21"/>
      <c r="E319" s="21"/>
      <c r="F319" s="21"/>
      <c r="G319" s="21"/>
      <c r="H319" s="21"/>
      <c r="I319" s="21"/>
      <c r="J319" s="86"/>
      <c r="K319" s="72"/>
      <c r="L319" s="21"/>
      <c r="M319" s="86"/>
      <c r="N319" s="74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</row>
    <row r="320" spans="1:42">
      <c r="A320" s="21"/>
      <c r="B320" s="21"/>
      <c r="C320" s="21"/>
      <c r="D320" s="21"/>
      <c r="E320" s="21"/>
      <c r="F320" s="21"/>
      <c r="G320" s="21"/>
      <c r="H320" s="21"/>
      <c r="I320" s="21"/>
      <c r="J320" s="86"/>
      <c r="K320" s="72"/>
      <c r="L320" s="21"/>
      <c r="M320" s="86"/>
      <c r="N320" s="74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</row>
    <row r="321" spans="1:42">
      <c r="A321" s="21"/>
      <c r="B321" s="21"/>
      <c r="C321" s="21"/>
      <c r="D321" s="21"/>
      <c r="E321" s="21"/>
      <c r="F321" s="21"/>
      <c r="G321" s="21"/>
      <c r="H321" s="21"/>
      <c r="I321" s="21"/>
      <c r="J321" s="86"/>
      <c r="K321" s="72"/>
      <c r="L321" s="21"/>
      <c r="M321" s="86"/>
      <c r="N321" s="74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</row>
    <row r="322" spans="1:42">
      <c r="A322" s="21"/>
      <c r="B322" s="21"/>
      <c r="C322" s="21"/>
      <c r="D322" s="21"/>
      <c r="E322" s="21"/>
      <c r="F322" s="21"/>
      <c r="G322" s="21"/>
      <c r="H322" s="21"/>
      <c r="I322" s="21"/>
      <c r="J322" s="86"/>
      <c r="K322" s="72"/>
      <c r="L322" s="21"/>
      <c r="M322" s="86"/>
      <c r="N322" s="74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</row>
    <row r="323" spans="1:42">
      <c r="A323" s="21"/>
      <c r="B323" s="21"/>
      <c r="C323" s="21"/>
      <c r="D323" s="21"/>
      <c r="E323" s="21"/>
      <c r="F323" s="21"/>
      <c r="G323" s="21"/>
      <c r="H323" s="21"/>
      <c r="I323" s="21"/>
      <c r="J323" s="86"/>
      <c r="K323" s="72"/>
      <c r="L323" s="21"/>
      <c r="M323" s="86"/>
      <c r="N323" s="74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</row>
    <row r="324" spans="1:42">
      <c r="A324" s="21"/>
      <c r="B324" s="21"/>
      <c r="C324" s="21"/>
      <c r="D324" s="21"/>
      <c r="E324" s="21"/>
      <c r="F324" s="21"/>
      <c r="G324" s="21"/>
      <c r="H324" s="21"/>
      <c r="I324" s="21"/>
      <c r="J324" s="86"/>
      <c r="K324" s="72"/>
      <c r="L324" s="21"/>
      <c r="M324" s="86"/>
      <c r="N324" s="74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</row>
    <row r="325" spans="1:42">
      <c r="A325" s="21"/>
      <c r="B325" s="21"/>
      <c r="C325" s="21"/>
      <c r="D325" s="21"/>
      <c r="E325" s="21"/>
      <c r="F325" s="21"/>
      <c r="G325" s="21"/>
      <c r="H325" s="21"/>
      <c r="I325" s="21"/>
      <c r="J325" s="86"/>
      <c r="K325" s="72"/>
      <c r="L325" s="21"/>
      <c r="M325" s="86"/>
      <c r="N325" s="74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</row>
    <row r="326" spans="1:42">
      <c r="A326" s="21"/>
      <c r="B326" s="21"/>
      <c r="C326" s="21"/>
      <c r="D326" s="21"/>
      <c r="E326" s="21"/>
      <c r="F326" s="21"/>
      <c r="G326" s="21"/>
      <c r="H326" s="21"/>
      <c r="I326" s="21"/>
      <c r="J326" s="86"/>
      <c r="K326" s="72"/>
      <c r="L326" s="21"/>
      <c r="M326" s="86"/>
      <c r="N326" s="74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</row>
    <row r="327" spans="1:42">
      <c r="A327" s="21"/>
      <c r="B327" s="21"/>
      <c r="C327" s="21"/>
      <c r="D327" s="21"/>
      <c r="E327" s="21"/>
      <c r="F327" s="21"/>
      <c r="G327" s="21"/>
      <c r="H327" s="21"/>
      <c r="I327" s="21"/>
      <c r="J327" s="86"/>
      <c r="K327" s="72"/>
      <c r="L327" s="21"/>
      <c r="M327" s="86"/>
      <c r="N327" s="74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</row>
    <row r="328" spans="1:42">
      <c r="A328" s="21"/>
      <c r="B328" s="21"/>
      <c r="C328" s="21"/>
      <c r="D328" s="21"/>
      <c r="E328" s="21"/>
      <c r="F328" s="21"/>
      <c r="G328" s="21"/>
      <c r="H328" s="21"/>
      <c r="I328" s="21"/>
      <c r="J328" s="86"/>
      <c r="K328" s="72"/>
      <c r="L328" s="21"/>
      <c r="M328" s="86"/>
      <c r="N328" s="74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</row>
    <row r="329" spans="1:42">
      <c r="A329" s="21"/>
      <c r="B329" s="21"/>
      <c r="C329" s="21"/>
      <c r="D329" s="21"/>
      <c r="E329" s="21"/>
      <c r="F329" s="21"/>
      <c r="G329" s="21"/>
      <c r="H329" s="21"/>
      <c r="I329" s="21"/>
      <c r="J329" s="86"/>
      <c r="K329" s="72"/>
      <c r="L329" s="21"/>
      <c r="M329" s="86"/>
      <c r="N329" s="74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</row>
    <row r="330" spans="1:42">
      <c r="A330" s="21"/>
      <c r="B330" s="21"/>
      <c r="C330" s="21"/>
      <c r="D330" s="21"/>
      <c r="E330" s="21"/>
      <c r="F330" s="21"/>
      <c r="G330" s="21"/>
      <c r="H330" s="21"/>
      <c r="I330" s="21"/>
      <c r="J330" s="86"/>
      <c r="K330" s="72"/>
      <c r="L330" s="21"/>
      <c r="M330" s="86"/>
      <c r="N330" s="74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</row>
    <row r="331" spans="1:42">
      <c r="A331" s="21"/>
      <c r="B331" s="21"/>
      <c r="C331" s="21"/>
      <c r="D331" s="21"/>
      <c r="E331" s="21"/>
      <c r="F331" s="21"/>
      <c r="G331" s="21"/>
      <c r="H331" s="21"/>
      <c r="I331" s="21"/>
      <c r="J331" s="86"/>
      <c r="K331" s="72"/>
      <c r="L331" s="21"/>
      <c r="M331" s="86"/>
      <c r="N331" s="74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</row>
    <row r="332" spans="1:42">
      <c r="A332" s="21"/>
      <c r="B332" s="21"/>
      <c r="C332" s="21"/>
      <c r="D332" s="21"/>
      <c r="E332" s="21"/>
      <c r="F332" s="21"/>
      <c r="G332" s="21"/>
      <c r="H332" s="21"/>
      <c r="I332" s="21"/>
      <c r="J332" s="86"/>
      <c r="K332" s="72"/>
      <c r="L332" s="21"/>
      <c r="M332" s="86"/>
      <c r="N332" s="74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</row>
    <row r="333" spans="1:42">
      <c r="A333" s="21"/>
      <c r="B333" s="21"/>
      <c r="C333" s="21"/>
      <c r="D333" s="21"/>
      <c r="E333" s="21"/>
      <c r="F333" s="21"/>
      <c r="G333" s="21"/>
      <c r="H333" s="21"/>
      <c r="I333" s="21"/>
      <c r="J333" s="86"/>
      <c r="K333" s="72"/>
      <c r="L333" s="21"/>
      <c r="M333" s="86"/>
      <c r="N333" s="74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</row>
    <row r="334" spans="1:42">
      <c r="A334" s="21"/>
      <c r="B334" s="21"/>
      <c r="C334" s="21"/>
      <c r="D334" s="21"/>
      <c r="E334" s="21"/>
      <c r="F334" s="21"/>
      <c r="G334" s="21"/>
      <c r="H334" s="21"/>
      <c r="I334" s="21"/>
      <c r="J334" s="86"/>
      <c r="K334" s="72"/>
      <c r="L334" s="21"/>
      <c r="M334" s="86"/>
      <c r="N334" s="74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</row>
    <row r="335" spans="1:42">
      <c r="A335" s="21"/>
      <c r="B335" s="21"/>
      <c r="C335" s="21"/>
      <c r="D335" s="21"/>
      <c r="E335" s="21"/>
      <c r="F335" s="21"/>
      <c r="G335" s="21"/>
      <c r="H335" s="21"/>
      <c r="I335" s="21"/>
      <c r="J335" s="86"/>
      <c r="K335" s="72"/>
      <c r="L335" s="21"/>
      <c r="M335" s="86"/>
      <c r="N335" s="74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</row>
    <row r="336" spans="1:42">
      <c r="A336" s="21"/>
      <c r="B336" s="21"/>
      <c r="C336" s="21"/>
      <c r="D336" s="21"/>
      <c r="E336" s="21"/>
      <c r="F336" s="21"/>
      <c r="G336" s="21"/>
      <c r="H336" s="21"/>
      <c r="I336" s="21"/>
      <c r="J336" s="86"/>
      <c r="K336" s="72"/>
      <c r="L336" s="21"/>
      <c r="M336" s="86"/>
      <c r="N336" s="74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</row>
    <row r="337" spans="1:42">
      <c r="A337" s="21"/>
      <c r="B337" s="21"/>
      <c r="C337" s="21"/>
      <c r="D337" s="21"/>
      <c r="E337" s="21"/>
      <c r="F337" s="21"/>
      <c r="G337" s="21"/>
      <c r="H337" s="21"/>
      <c r="I337" s="21"/>
      <c r="J337" s="86"/>
      <c r="K337" s="72"/>
      <c r="L337" s="21"/>
      <c r="M337" s="86"/>
      <c r="N337" s="74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</row>
    <row r="338" spans="1:42">
      <c r="A338" s="21"/>
      <c r="B338" s="21"/>
      <c r="C338" s="21"/>
      <c r="D338" s="21"/>
      <c r="E338" s="21"/>
      <c r="F338" s="21"/>
      <c r="G338" s="21"/>
      <c r="H338" s="21"/>
      <c r="I338" s="21"/>
      <c r="J338" s="86"/>
      <c r="K338" s="72"/>
      <c r="L338" s="21"/>
      <c r="M338" s="86"/>
      <c r="N338" s="74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</row>
    <row r="339" spans="1:42">
      <c r="A339" s="21"/>
      <c r="B339" s="21"/>
      <c r="C339" s="21"/>
      <c r="D339" s="21"/>
      <c r="E339" s="21"/>
      <c r="F339" s="21"/>
      <c r="G339" s="21"/>
      <c r="H339" s="21"/>
      <c r="I339" s="21"/>
      <c r="J339" s="86"/>
      <c r="K339" s="72"/>
      <c r="L339" s="21"/>
      <c r="M339" s="86"/>
      <c r="N339" s="74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</row>
    <row r="340" spans="1:42">
      <c r="A340" s="21"/>
      <c r="B340" s="21"/>
      <c r="C340" s="21"/>
      <c r="D340" s="21"/>
      <c r="E340" s="21"/>
      <c r="F340" s="21"/>
      <c r="G340" s="21"/>
      <c r="H340" s="21"/>
      <c r="I340" s="21"/>
      <c r="J340" s="86"/>
      <c r="K340" s="72"/>
      <c r="L340" s="21"/>
      <c r="M340" s="86"/>
      <c r="N340" s="74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</row>
    <row r="341" spans="1:42">
      <c r="A341" s="21"/>
      <c r="B341" s="21"/>
      <c r="C341" s="21"/>
      <c r="D341" s="21"/>
      <c r="E341" s="21"/>
      <c r="F341" s="21"/>
      <c r="G341" s="21"/>
      <c r="H341" s="21"/>
      <c r="I341" s="21"/>
      <c r="J341" s="86"/>
      <c r="K341" s="72"/>
      <c r="L341" s="21"/>
      <c r="M341" s="86"/>
      <c r="N341" s="74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</row>
    <row r="342" spans="1:42">
      <c r="A342" s="21"/>
      <c r="B342" s="21"/>
      <c r="C342" s="21"/>
      <c r="D342" s="21"/>
      <c r="E342" s="21"/>
      <c r="F342" s="21"/>
      <c r="G342" s="21"/>
      <c r="H342" s="21"/>
      <c r="I342" s="21"/>
      <c r="J342" s="86"/>
      <c r="K342" s="72"/>
      <c r="L342" s="21"/>
      <c r="M342" s="86"/>
      <c r="N342" s="74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</row>
    <row r="343" spans="1:42">
      <c r="A343" s="21"/>
      <c r="B343" s="21"/>
      <c r="C343" s="21"/>
      <c r="D343" s="21"/>
      <c r="E343" s="21"/>
      <c r="F343" s="21"/>
      <c r="G343" s="21"/>
      <c r="H343" s="21"/>
      <c r="I343" s="21"/>
      <c r="J343" s="86"/>
      <c r="K343" s="72"/>
      <c r="L343" s="21"/>
      <c r="M343" s="86"/>
      <c r="N343" s="74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</row>
    <row r="344" spans="1:42">
      <c r="A344" s="21"/>
      <c r="B344" s="21"/>
      <c r="C344" s="21"/>
      <c r="D344" s="21"/>
      <c r="E344" s="21"/>
      <c r="F344" s="21"/>
      <c r="G344" s="21"/>
      <c r="H344" s="21"/>
      <c r="I344" s="21"/>
      <c r="J344" s="86"/>
      <c r="K344" s="72"/>
      <c r="L344" s="21"/>
      <c r="M344" s="86"/>
      <c r="N344" s="74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</row>
    <row r="345" spans="1:42">
      <c r="A345" s="21"/>
      <c r="B345" s="21"/>
      <c r="C345" s="21"/>
      <c r="D345" s="21"/>
      <c r="E345" s="21"/>
      <c r="F345" s="21"/>
      <c r="G345" s="21"/>
      <c r="H345" s="21"/>
      <c r="I345" s="21"/>
      <c r="J345" s="86"/>
      <c r="K345" s="72"/>
      <c r="L345" s="21"/>
      <c r="M345" s="86"/>
      <c r="N345" s="74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</row>
    <row r="346" spans="1:42">
      <c r="A346" s="21"/>
      <c r="B346" s="21"/>
      <c r="C346" s="21"/>
      <c r="D346" s="21"/>
      <c r="E346" s="21"/>
      <c r="F346" s="21"/>
      <c r="G346" s="21"/>
      <c r="H346" s="21"/>
      <c r="I346" s="21"/>
      <c r="J346" s="86"/>
      <c r="K346" s="72"/>
      <c r="L346" s="21"/>
      <c r="M346" s="86"/>
      <c r="N346" s="74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</row>
    <row r="347" spans="1:42">
      <c r="A347" s="21"/>
      <c r="B347" s="21"/>
      <c r="C347" s="21"/>
      <c r="D347" s="21"/>
      <c r="E347" s="21"/>
      <c r="F347" s="21"/>
      <c r="G347" s="21"/>
      <c r="H347" s="21"/>
      <c r="I347" s="21"/>
      <c r="J347" s="86"/>
      <c r="K347" s="72"/>
      <c r="L347" s="21"/>
      <c r="M347" s="86"/>
      <c r="N347" s="74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</row>
    <row r="348" spans="1:42">
      <c r="A348" s="21"/>
      <c r="B348" s="21"/>
      <c r="C348" s="21"/>
      <c r="D348" s="21"/>
      <c r="E348" s="21"/>
      <c r="F348" s="21"/>
      <c r="G348" s="21"/>
      <c r="H348" s="21"/>
      <c r="I348" s="21"/>
      <c r="J348" s="86"/>
      <c r="K348" s="72"/>
      <c r="L348" s="21"/>
      <c r="M348" s="86"/>
      <c r="N348" s="74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</row>
    <row r="349" spans="1:42">
      <c r="A349" s="21"/>
      <c r="B349" s="21"/>
      <c r="C349" s="21"/>
      <c r="D349" s="21"/>
      <c r="E349" s="21"/>
      <c r="F349" s="21"/>
      <c r="G349" s="21"/>
      <c r="H349" s="21"/>
      <c r="I349" s="21"/>
      <c r="J349" s="86"/>
      <c r="K349" s="72"/>
      <c r="L349" s="21"/>
      <c r="M349" s="86"/>
      <c r="N349" s="74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</row>
    <row r="350" spans="1:42">
      <c r="A350" s="21"/>
      <c r="B350" s="21"/>
      <c r="C350" s="21"/>
      <c r="D350" s="21"/>
      <c r="E350" s="21"/>
      <c r="F350" s="21"/>
      <c r="G350" s="21"/>
      <c r="H350" s="21"/>
      <c r="I350" s="21"/>
      <c r="J350" s="86"/>
      <c r="K350" s="72"/>
      <c r="L350" s="21"/>
      <c r="M350" s="86"/>
      <c r="N350" s="74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</row>
    <row r="351" spans="1:42">
      <c r="A351" s="21"/>
      <c r="B351" s="21"/>
      <c r="C351" s="21"/>
      <c r="D351" s="21"/>
      <c r="E351" s="21"/>
      <c r="F351" s="21"/>
      <c r="G351" s="21"/>
      <c r="H351" s="21"/>
      <c r="I351" s="21"/>
      <c r="J351" s="86"/>
      <c r="K351" s="72"/>
      <c r="L351" s="21"/>
      <c r="M351" s="86"/>
      <c r="N351" s="74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</row>
    <row r="352" spans="1:42">
      <c r="A352" s="21"/>
      <c r="B352" s="21"/>
      <c r="C352" s="21"/>
      <c r="D352" s="21"/>
      <c r="E352" s="21"/>
      <c r="F352" s="21"/>
      <c r="G352" s="21"/>
      <c r="H352" s="21"/>
      <c r="I352" s="21"/>
      <c r="J352" s="86"/>
      <c r="K352" s="72"/>
      <c r="L352" s="21"/>
      <c r="M352" s="86"/>
      <c r="N352" s="74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</row>
    <row r="353" spans="1:42">
      <c r="A353" s="21"/>
      <c r="B353" s="21"/>
      <c r="C353" s="21"/>
      <c r="D353" s="21"/>
      <c r="E353" s="21"/>
      <c r="F353" s="21"/>
      <c r="G353" s="21"/>
      <c r="H353" s="21"/>
      <c r="I353" s="21"/>
      <c r="J353" s="86"/>
      <c r="K353" s="72"/>
      <c r="L353" s="21"/>
      <c r="M353" s="86"/>
      <c r="N353" s="74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</row>
    <row r="354" spans="1:42">
      <c r="A354" s="21"/>
      <c r="B354" s="21"/>
      <c r="C354" s="21"/>
      <c r="D354" s="21"/>
      <c r="E354" s="21"/>
      <c r="F354" s="21"/>
      <c r="G354" s="21"/>
      <c r="H354" s="21"/>
      <c r="I354" s="21"/>
      <c r="J354" s="86"/>
      <c r="K354" s="72"/>
      <c r="L354" s="21"/>
      <c r="M354" s="86"/>
      <c r="N354" s="74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</row>
    <row r="355" spans="1:42">
      <c r="A355" s="21"/>
      <c r="B355" s="21"/>
      <c r="C355" s="21"/>
      <c r="D355" s="21"/>
      <c r="E355" s="21"/>
      <c r="F355" s="21"/>
      <c r="G355" s="21"/>
      <c r="H355" s="21"/>
      <c r="I355" s="21"/>
      <c r="J355" s="86"/>
      <c r="K355" s="72"/>
      <c r="L355" s="21"/>
      <c r="M355" s="86"/>
      <c r="N355" s="74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</row>
    <row r="356" spans="1:42">
      <c r="A356" s="21"/>
      <c r="B356" s="21"/>
      <c r="C356" s="21"/>
      <c r="D356" s="21"/>
      <c r="E356" s="21"/>
      <c r="F356" s="21"/>
      <c r="G356" s="21"/>
      <c r="H356" s="21"/>
      <c r="I356" s="21"/>
      <c r="J356" s="86"/>
      <c r="K356" s="72"/>
      <c r="L356" s="21"/>
      <c r="M356" s="86"/>
      <c r="N356" s="74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</row>
    <row r="357" spans="1:42">
      <c r="A357" s="21"/>
      <c r="B357" s="21"/>
      <c r="C357" s="21"/>
      <c r="D357" s="21"/>
      <c r="E357" s="21"/>
      <c r="F357" s="21"/>
      <c r="G357" s="21"/>
      <c r="H357" s="21"/>
      <c r="I357" s="21"/>
      <c r="J357" s="86"/>
      <c r="K357" s="72"/>
      <c r="L357" s="21"/>
      <c r="M357" s="86"/>
      <c r="N357" s="74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</row>
    <row r="358" spans="1:42">
      <c r="A358" s="21"/>
      <c r="B358" s="21"/>
      <c r="C358" s="21"/>
      <c r="D358" s="21"/>
      <c r="E358" s="21"/>
      <c r="F358" s="21"/>
      <c r="G358" s="21"/>
      <c r="H358" s="21"/>
      <c r="I358" s="21"/>
      <c r="J358" s="86"/>
      <c r="K358" s="72"/>
      <c r="L358" s="21"/>
      <c r="M358" s="86"/>
      <c r="N358" s="74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</row>
    <row r="359" spans="1:42">
      <c r="A359" s="21"/>
      <c r="B359" s="21"/>
      <c r="C359" s="21"/>
      <c r="D359" s="21"/>
      <c r="E359" s="21"/>
      <c r="F359" s="21"/>
      <c r="G359" s="21"/>
      <c r="H359" s="21"/>
      <c r="I359" s="21"/>
      <c r="J359" s="86"/>
      <c r="K359" s="72"/>
      <c r="L359" s="21"/>
      <c r="M359" s="86"/>
      <c r="N359" s="74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</row>
    <row r="360" spans="1:42">
      <c r="A360" s="21"/>
      <c r="B360" s="21"/>
      <c r="C360" s="21"/>
      <c r="D360" s="21"/>
      <c r="E360" s="21"/>
      <c r="F360" s="21"/>
      <c r="G360" s="21"/>
      <c r="H360" s="21"/>
      <c r="I360" s="21"/>
      <c r="J360" s="86"/>
      <c r="K360" s="72"/>
      <c r="L360" s="21"/>
      <c r="M360" s="86"/>
      <c r="N360" s="74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</row>
    <row r="361" spans="1:42">
      <c r="A361" s="21"/>
      <c r="B361" s="21"/>
      <c r="C361" s="21"/>
      <c r="D361" s="21"/>
      <c r="E361" s="21"/>
      <c r="F361" s="21"/>
      <c r="G361" s="21"/>
      <c r="H361" s="21"/>
      <c r="I361" s="21"/>
      <c r="J361" s="86"/>
      <c r="K361" s="72"/>
      <c r="L361" s="21"/>
      <c r="M361" s="86"/>
      <c r="N361" s="74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</row>
    <row r="362" spans="1:42">
      <c r="A362" s="21"/>
      <c r="B362" s="21"/>
      <c r="C362" s="21"/>
      <c r="D362" s="21"/>
      <c r="E362" s="21"/>
      <c r="F362" s="21"/>
      <c r="G362" s="21"/>
      <c r="H362" s="21"/>
      <c r="I362" s="21"/>
      <c r="J362" s="86"/>
      <c r="K362" s="72"/>
      <c r="L362" s="21"/>
      <c r="M362" s="86"/>
      <c r="N362" s="74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</row>
    <row r="363" spans="1:42">
      <c r="A363" s="21"/>
      <c r="B363" s="21"/>
      <c r="C363" s="21"/>
      <c r="D363" s="21"/>
      <c r="E363" s="21"/>
      <c r="F363" s="21"/>
      <c r="G363" s="21"/>
      <c r="H363" s="21"/>
      <c r="I363" s="21"/>
      <c r="J363" s="86"/>
      <c r="K363" s="72"/>
      <c r="L363" s="21"/>
      <c r="M363" s="86"/>
      <c r="N363" s="74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</row>
    <row r="364" spans="1:42">
      <c r="A364" s="21"/>
      <c r="B364" s="21"/>
      <c r="C364" s="21"/>
      <c r="D364" s="21"/>
      <c r="E364" s="21"/>
      <c r="F364" s="21"/>
      <c r="G364" s="21"/>
      <c r="H364" s="21"/>
      <c r="I364" s="21"/>
      <c r="J364" s="86"/>
      <c r="K364" s="72"/>
      <c r="L364" s="21"/>
      <c r="M364" s="86"/>
      <c r="N364" s="74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</row>
    <row r="365" spans="1:42">
      <c r="A365" s="21"/>
      <c r="B365" s="21"/>
      <c r="C365" s="21"/>
      <c r="D365" s="21"/>
      <c r="E365" s="21"/>
      <c r="F365" s="21"/>
      <c r="G365" s="21"/>
      <c r="H365" s="21"/>
      <c r="I365" s="21"/>
      <c r="J365" s="86"/>
      <c r="K365" s="72"/>
      <c r="L365" s="21"/>
      <c r="M365" s="86"/>
      <c r="N365" s="74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</row>
    <row r="366" spans="1:42">
      <c r="A366" s="21"/>
      <c r="B366" s="21"/>
      <c r="C366" s="21"/>
      <c r="D366" s="21"/>
      <c r="E366" s="21"/>
      <c r="F366" s="21"/>
      <c r="G366" s="21"/>
      <c r="H366" s="21"/>
      <c r="I366" s="21"/>
      <c r="J366" s="86"/>
      <c r="K366" s="72"/>
      <c r="L366" s="21"/>
      <c r="M366" s="86"/>
      <c r="N366" s="74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</row>
    <row r="367" spans="1:42">
      <c r="A367" s="21"/>
      <c r="B367" s="21"/>
      <c r="C367" s="21"/>
      <c r="D367" s="21"/>
      <c r="E367" s="21"/>
      <c r="F367" s="21"/>
      <c r="G367" s="21"/>
      <c r="H367" s="21"/>
      <c r="I367" s="21"/>
      <c r="J367" s="86"/>
      <c r="K367" s="72"/>
      <c r="L367" s="21"/>
      <c r="M367" s="86"/>
      <c r="N367" s="74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</row>
    <row r="368" spans="1:42">
      <c r="A368" s="21"/>
      <c r="B368" s="21"/>
      <c r="C368" s="21"/>
      <c r="D368" s="21"/>
      <c r="E368" s="21"/>
      <c r="F368" s="21"/>
      <c r="G368" s="21"/>
      <c r="H368" s="21"/>
      <c r="I368" s="21"/>
      <c r="J368" s="86"/>
      <c r="K368" s="72"/>
      <c r="L368" s="21"/>
      <c r="M368" s="86"/>
      <c r="N368" s="74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</row>
    <row r="369" spans="1:42">
      <c r="A369" s="21"/>
      <c r="B369" s="21"/>
      <c r="C369" s="21"/>
      <c r="D369" s="21"/>
      <c r="E369" s="21"/>
      <c r="F369" s="21"/>
      <c r="G369" s="21"/>
      <c r="H369" s="21"/>
      <c r="I369" s="21"/>
      <c r="J369" s="86"/>
      <c r="K369" s="72"/>
      <c r="L369" s="21"/>
      <c r="M369" s="86"/>
      <c r="N369" s="74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</row>
    <row r="370" spans="1:42">
      <c r="A370" s="21"/>
      <c r="B370" s="21"/>
      <c r="C370" s="21"/>
      <c r="D370" s="21"/>
      <c r="E370" s="21"/>
      <c r="F370" s="21"/>
      <c r="G370" s="21"/>
      <c r="H370" s="21"/>
      <c r="I370" s="21"/>
      <c r="J370" s="86"/>
      <c r="K370" s="72"/>
      <c r="L370" s="21"/>
      <c r="M370" s="86"/>
      <c r="N370" s="74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</row>
    <row r="371" spans="1:42">
      <c r="A371" s="21"/>
      <c r="B371" s="21"/>
      <c r="C371" s="21"/>
      <c r="D371" s="21"/>
      <c r="E371" s="21"/>
      <c r="F371" s="21"/>
      <c r="G371" s="21"/>
      <c r="H371" s="21"/>
      <c r="I371" s="21"/>
      <c r="J371" s="86"/>
      <c r="K371" s="72"/>
      <c r="L371" s="21"/>
      <c r="M371" s="86"/>
      <c r="N371" s="74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</row>
    <row r="372" spans="1:42">
      <c r="A372" s="21"/>
      <c r="B372" s="21"/>
      <c r="C372" s="21"/>
      <c r="D372" s="21"/>
      <c r="E372" s="21"/>
      <c r="F372" s="21"/>
      <c r="G372" s="21"/>
      <c r="H372" s="21"/>
      <c r="I372" s="21"/>
      <c r="J372" s="86"/>
      <c r="K372" s="72"/>
      <c r="L372" s="21"/>
      <c r="M372" s="86"/>
      <c r="N372" s="74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</row>
    <row r="373" spans="1:42">
      <c r="A373" s="21"/>
      <c r="B373" s="21"/>
      <c r="C373" s="21"/>
      <c r="D373" s="21"/>
      <c r="E373" s="21"/>
      <c r="F373" s="21"/>
      <c r="G373" s="21"/>
      <c r="H373" s="21"/>
      <c r="I373" s="21"/>
      <c r="J373" s="86"/>
      <c r="K373" s="72"/>
      <c r="L373" s="21"/>
      <c r="M373" s="86"/>
      <c r="N373" s="74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</row>
    <row r="374" spans="1:42">
      <c r="A374" s="21"/>
      <c r="B374" s="21"/>
      <c r="C374" s="21"/>
      <c r="D374" s="21"/>
      <c r="E374" s="21"/>
      <c r="F374" s="21"/>
      <c r="G374" s="21"/>
      <c r="H374" s="21"/>
      <c r="I374" s="21"/>
      <c r="J374" s="86"/>
      <c r="K374" s="72"/>
      <c r="L374" s="21"/>
      <c r="M374" s="86"/>
      <c r="N374" s="74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</row>
    <row r="375" spans="1:42">
      <c r="A375" s="21"/>
      <c r="B375" s="21"/>
      <c r="C375" s="21"/>
      <c r="D375" s="21"/>
      <c r="E375" s="21"/>
      <c r="F375" s="21"/>
      <c r="G375" s="21"/>
      <c r="H375" s="21"/>
      <c r="I375" s="21"/>
      <c r="J375" s="86"/>
      <c r="K375" s="72"/>
      <c r="L375" s="21"/>
      <c r="M375" s="86"/>
      <c r="N375" s="74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</row>
    <row r="376" spans="1:42">
      <c r="A376" s="21"/>
      <c r="B376" s="21"/>
      <c r="C376" s="21"/>
      <c r="D376" s="21"/>
      <c r="E376" s="21"/>
      <c r="F376" s="21"/>
      <c r="G376" s="21"/>
      <c r="H376" s="21"/>
      <c r="I376" s="21"/>
      <c r="J376" s="86"/>
      <c r="K376" s="72"/>
      <c r="L376" s="21"/>
      <c r="M376" s="86"/>
      <c r="N376" s="74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</row>
    <row r="377" spans="1:42">
      <c r="A377" s="21"/>
      <c r="B377" s="21"/>
      <c r="C377" s="21"/>
      <c r="D377" s="21"/>
      <c r="E377" s="21"/>
      <c r="F377" s="21"/>
      <c r="G377" s="21"/>
      <c r="H377" s="21"/>
      <c r="I377" s="21"/>
      <c r="J377" s="86"/>
      <c r="K377" s="72"/>
      <c r="L377" s="21"/>
      <c r="M377" s="86"/>
      <c r="N377" s="74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</row>
    <row r="378" spans="1:42">
      <c r="A378" s="21"/>
      <c r="B378" s="21"/>
      <c r="C378" s="21"/>
      <c r="D378" s="21"/>
      <c r="E378" s="21"/>
      <c r="F378" s="21"/>
      <c r="G378" s="21"/>
      <c r="H378" s="21"/>
      <c r="I378" s="21"/>
      <c r="J378" s="86"/>
      <c r="K378" s="72"/>
      <c r="L378" s="21"/>
      <c r="M378" s="86"/>
      <c r="N378" s="74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</row>
    <row r="379" spans="1:42">
      <c r="A379" s="21"/>
      <c r="B379" s="21"/>
      <c r="C379" s="21"/>
      <c r="D379" s="21"/>
      <c r="E379" s="21"/>
      <c r="F379" s="21"/>
      <c r="G379" s="21"/>
      <c r="H379" s="21"/>
      <c r="I379" s="21"/>
      <c r="J379" s="86"/>
      <c r="K379" s="72"/>
      <c r="L379" s="21"/>
      <c r="M379" s="86"/>
      <c r="N379" s="74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</row>
    <row r="380" spans="1:42">
      <c r="A380" s="21"/>
      <c r="B380" s="21"/>
      <c r="C380" s="21"/>
      <c r="D380" s="21"/>
      <c r="E380" s="21"/>
      <c r="F380" s="21"/>
      <c r="G380" s="21"/>
      <c r="H380" s="21"/>
      <c r="I380" s="21"/>
      <c r="J380" s="86"/>
      <c r="K380" s="72"/>
      <c r="L380" s="21"/>
      <c r="M380" s="86"/>
      <c r="N380" s="74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</row>
    <row r="381" spans="1:42">
      <c r="A381" s="21"/>
      <c r="B381" s="21"/>
      <c r="C381" s="21"/>
      <c r="D381" s="21"/>
      <c r="E381" s="21"/>
      <c r="F381" s="21"/>
      <c r="G381" s="21"/>
      <c r="H381" s="21"/>
      <c r="I381" s="21"/>
      <c r="J381" s="86"/>
      <c r="K381" s="72"/>
      <c r="L381" s="21"/>
      <c r="M381" s="86"/>
      <c r="N381" s="74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</row>
    <row r="382" spans="1:42">
      <c r="A382" s="21"/>
      <c r="B382" s="21"/>
      <c r="C382" s="21"/>
      <c r="D382" s="21"/>
      <c r="E382" s="21"/>
      <c r="F382" s="21"/>
      <c r="G382" s="21"/>
      <c r="H382" s="21"/>
      <c r="I382" s="21"/>
      <c r="J382" s="86"/>
      <c r="K382" s="72"/>
      <c r="L382" s="21"/>
      <c r="M382" s="86"/>
      <c r="N382" s="74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</row>
    <row r="383" spans="1:42">
      <c r="A383" s="21"/>
      <c r="B383" s="21"/>
      <c r="C383" s="21"/>
      <c r="D383" s="21"/>
      <c r="E383" s="21"/>
      <c r="F383" s="21"/>
      <c r="G383" s="21"/>
      <c r="H383" s="21"/>
      <c r="I383" s="21"/>
      <c r="J383" s="86"/>
      <c r="K383" s="72"/>
      <c r="L383" s="21"/>
      <c r="M383" s="86"/>
      <c r="N383" s="74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</row>
    <row r="384" spans="1:42">
      <c r="A384" s="21"/>
      <c r="B384" s="21"/>
      <c r="C384" s="21"/>
      <c r="D384" s="21"/>
      <c r="E384" s="21"/>
      <c r="F384" s="21"/>
      <c r="G384" s="21"/>
      <c r="H384" s="21"/>
      <c r="I384" s="21"/>
      <c r="J384" s="86"/>
      <c r="K384" s="72"/>
      <c r="L384" s="21"/>
      <c r="M384" s="86"/>
      <c r="N384" s="74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</row>
    <row r="385" spans="10:42">
      <c r="J385" s="86"/>
      <c r="K385" s="72"/>
      <c r="L385" s="21"/>
      <c r="M385" s="86"/>
      <c r="N385" s="74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</row>
    <row r="386" spans="10:42">
      <c r="J386" s="86"/>
      <c r="K386" s="72"/>
      <c r="L386" s="21"/>
      <c r="M386" s="86"/>
      <c r="N386" s="74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</row>
  </sheetData>
  <autoFilter ref="J1:N1"/>
  <phoneticPr fontId="3" type="noConversion"/>
  <pageMargins left="0.75" right="0.75" top="1" bottom="1" header="0.5" footer="0.5"/>
  <pageSetup paperSize="9" scale="76" orientation="portrait" horizont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7"/>
  <dimension ref="A1:AH525"/>
  <sheetViews>
    <sheetView showGridLines="0" view="pageBreakPreview" zoomScaleNormal="100" workbookViewId="0">
      <selection activeCell="J1" sqref="J1"/>
    </sheetView>
  </sheetViews>
  <sheetFormatPr defaultRowHeight="12.75"/>
  <cols>
    <col min="3" max="3" width="9.140625" hidden="1" customWidth="1"/>
    <col min="4" max="4" width="9.140625" style="17" hidden="1" customWidth="1"/>
    <col min="5" max="7" width="9.140625" hidden="1" customWidth="1"/>
    <col min="9" max="9" width="0" hidden="1" customWidth="1"/>
    <col min="10" max="10" width="29.5703125" style="87" customWidth="1"/>
    <col min="11" max="11" width="13.85546875" style="71" bestFit="1" customWidth="1"/>
    <col min="12" max="12" width="0" style="3" hidden="1" customWidth="1"/>
    <col min="13" max="13" width="21.42578125" style="87" customWidth="1"/>
    <col min="14" max="14" width="16" style="75" bestFit="1" customWidth="1"/>
  </cols>
  <sheetData>
    <row r="1" spans="3:34" ht="19.5" thickTop="1" thickBot="1">
      <c r="D1"/>
      <c r="J1" s="58" t="s">
        <v>12</v>
      </c>
      <c r="K1" s="67" t="s">
        <v>13</v>
      </c>
      <c r="L1" s="58"/>
      <c r="M1" s="89" t="s">
        <v>14</v>
      </c>
      <c r="N1" s="58" t="s">
        <v>15</v>
      </c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3:34" ht="17.25" thickTop="1" thickBot="1">
      <c r="C2">
        <f>wyniki!N8</f>
        <v>179</v>
      </c>
      <c r="D2">
        <v>1.0000000000000001E-5</v>
      </c>
      <c r="E2">
        <f>C2+D2</f>
        <v>179.00001</v>
      </c>
      <c r="F2" t="str">
        <f>wyniki!$A$7</f>
        <v>SP8 Siedlce</v>
      </c>
      <c r="G2" t="str">
        <f>wyniki!B8</f>
        <v>Dąbrowski Mateusz</v>
      </c>
      <c r="J2" s="79" t="str">
        <f>INDEX($E$2:$G$241,L2,3)</f>
        <v>Kałęcki Bartosz</v>
      </c>
      <c r="K2" s="69">
        <f>LARGE($E$2:$E$241,1)</f>
        <v>303.00051000000002</v>
      </c>
      <c r="L2" s="59">
        <f>MATCH(K2,$E$2:$E$241,0)</f>
        <v>51</v>
      </c>
      <c r="M2" s="90" t="str">
        <f>INDEX($E$2:$F$241,L2,2)</f>
        <v>SP154 Warszawa</v>
      </c>
      <c r="N2" s="37">
        <v>1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3:34" ht="17.25" thickTop="1" thickBot="1">
      <c r="C3">
        <f>wyniki!N9</f>
        <v>198</v>
      </c>
      <c r="D3">
        <v>2.0000000000000002E-5</v>
      </c>
      <c r="E3">
        <f t="shared" ref="E3:E66" si="0">C3+D3</f>
        <v>198.00002000000001</v>
      </c>
      <c r="F3" t="str">
        <f>wyniki!$A$7</f>
        <v>SP8 Siedlce</v>
      </c>
      <c r="G3" t="str">
        <f>wyniki!B9</f>
        <v>Iliński Aleksander</v>
      </c>
      <c r="J3" s="79" t="str">
        <f t="shared" ref="J3:J66" si="1">INDEX($E$2:$G$241,L3,3)</f>
        <v>Balcer Antoni</v>
      </c>
      <c r="K3" s="69">
        <f>LARGE($E$2:$E$241,2)</f>
        <v>300.00060999999999</v>
      </c>
      <c r="L3" s="59">
        <f>MATCH(K3,$E$2:$E$241,0)</f>
        <v>61</v>
      </c>
      <c r="M3" s="90" t="str">
        <f t="shared" ref="M3:M66" si="2">INDEX($E$2:$F$241,L3,2)</f>
        <v>SP2 Zielonka</v>
      </c>
      <c r="N3" s="37">
        <v>2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3:34" ht="17.25" thickTop="1" thickBot="1">
      <c r="C4">
        <f>wyniki!N10</f>
        <v>204</v>
      </c>
      <c r="D4">
        <v>3.0000000000000001E-5</v>
      </c>
      <c r="E4">
        <f t="shared" si="0"/>
        <v>204.00003000000001</v>
      </c>
      <c r="F4" t="str">
        <f>wyniki!$A$7</f>
        <v>SP8 Siedlce</v>
      </c>
      <c r="G4" t="str">
        <f>wyniki!B10</f>
        <v>Ługowski Bartosz</v>
      </c>
      <c r="J4" s="79" t="str">
        <f t="shared" si="1"/>
        <v>Sołomski Oliwier</v>
      </c>
      <c r="K4" s="69">
        <f>LARGE($E$2:$E$241,3)</f>
        <v>287.00045999999998</v>
      </c>
      <c r="L4" s="59">
        <f t="shared" ref="L4:L67" si="3">MATCH(K4,$E$2:$E$241,0)</f>
        <v>46</v>
      </c>
      <c r="M4" s="90" t="str">
        <f t="shared" si="2"/>
        <v>SP Zielonki Parcela</v>
      </c>
      <c r="N4" s="37">
        <v>3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3:34" ht="17.25" thickTop="1" thickBot="1">
      <c r="C5">
        <f>wyniki!N11</f>
        <v>155</v>
      </c>
      <c r="D5">
        <v>4.0000000000000003E-5</v>
      </c>
      <c r="E5">
        <f t="shared" si="0"/>
        <v>155.00004000000001</v>
      </c>
      <c r="F5" t="str">
        <f>wyniki!$A$7</f>
        <v>SP8 Siedlce</v>
      </c>
      <c r="G5" t="str">
        <f>wyniki!B11</f>
        <v>Redes Maciej</v>
      </c>
      <c r="J5" s="79" t="str">
        <f t="shared" si="1"/>
        <v>Świder Tymoteusz</v>
      </c>
      <c r="K5" s="69">
        <f>LARGE($E$2:$E$241,4)</f>
        <v>280.00004999999999</v>
      </c>
      <c r="L5" s="59">
        <f t="shared" si="3"/>
        <v>5</v>
      </c>
      <c r="M5" s="90" t="str">
        <f t="shared" si="2"/>
        <v>SP8 Siedlce</v>
      </c>
      <c r="N5" s="37">
        <v>4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3:34" ht="17.25" thickTop="1" thickBot="1">
      <c r="C6">
        <f>wyniki!N12</f>
        <v>280</v>
      </c>
      <c r="D6">
        <v>5.0000000000000002E-5</v>
      </c>
      <c r="E6">
        <f t="shared" si="0"/>
        <v>280.00004999999999</v>
      </c>
      <c r="F6" t="str">
        <f>wyniki!$A$7</f>
        <v>SP8 Siedlce</v>
      </c>
      <c r="G6" t="str">
        <f>wyniki!B12</f>
        <v>Świder Tymoteusz</v>
      </c>
      <c r="J6" s="79" t="str">
        <f t="shared" si="1"/>
        <v>Kamiński Mateusz</v>
      </c>
      <c r="K6" s="69">
        <f>LARGE($E$2:$E$241,5)</f>
        <v>249.00026</v>
      </c>
      <c r="L6" s="59">
        <f t="shared" si="3"/>
        <v>26</v>
      </c>
      <c r="M6" s="90" t="str">
        <f t="shared" si="2"/>
        <v>SP9 Siedlce</v>
      </c>
      <c r="N6" s="37">
        <v>5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3:34" ht="17.25" thickTop="1" thickBot="1">
      <c r="C7">
        <f>wyniki!N13</f>
        <v>145</v>
      </c>
      <c r="D7">
        <v>6.0000000000000002E-5</v>
      </c>
      <c r="E7">
        <f t="shared" si="0"/>
        <v>145.00005999999999</v>
      </c>
      <c r="F7" t="str">
        <f>wyniki!$A$7</f>
        <v>SP8 Siedlce</v>
      </c>
      <c r="G7" t="str">
        <f>wyniki!B13</f>
        <v>Nitychoruk Maciej</v>
      </c>
      <c r="J7" s="79" t="str">
        <f t="shared" si="1"/>
        <v>Równy Krystian</v>
      </c>
      <c r="K7" s="69">
        <f>LARGE($E$2:$E$241,6)</f>
        <v>247.00036</v>
      </c>
      <c r="L7" s="59">
        <f t="shared" si="3"/>
        <v>36</v>
      </c>
      <c r="M7" s="90" t="str">
        <f t="shared" si="2"/>
        <v>SP1 Ostrów Maz</v>
      </c>
      <c r="N7" s="37">
        <v>6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3:34" ht="17.25" thickTop="1" thickBot="1">
      <c r="C8">
        <f>wyniki!N15</f>
        <v>137</v>
      </c>
      <c r="D8">
        <v>6.9999999999999994E-5</v>
      </c>
      <c r="E8">
        <f t="shared" si="0"/>
        <v>137.00006999999999</v>
      </c>
      <c r="F8" t="str">
        <f>wyniki!$A$14</f>
        <v>PSP24 Radom</v>
      </c>
      <c r="G8" t="str">
        <f>wyniki!B15</f>
        <v>Kołacz Nikodem</v>
      </c>
      <c r="J8" s="79" t="str">
        <f t="shared" si="1"/>
        <v>Sypiański Szymon</v>
      </c>
      <c r="K8" s="69">
        <f>LARGE($E$2:$E$241,7)</f>
        <v>241.00029000000001</v>
      </c>
      <c r="L8" s="59">
        <f t="shared" si="3"/>
        <v>29</v>
      </c>
      <c r="M8" s="90" t="str">
        <f t="shared" si="2"/>
        <v>SP9 Siedlce</v>
      </c>
      <c r="N8" s="37">
        <v>7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3:34" ht="17.25" thickTop="1" thickBot="1">
      <c r="C9">
        <f>wyniki!N16</f>
        <v>184</v>
      </c>
      <c r="D9">
        <v>8.0000000000000007E-5</v>
      </c>
      <c r="E9">
        <f t="shared" si="0"/>
        <v>184.00008</v>
      </c>
      <c r="F9" t="str">
        <f>wyniki!$A$14</f>
        <v>PSP24 Radom</v>
      </c>
      <c r="G9" t="str">
        <f>wyniki!B16</f>
        <v>Komar Wojciech</v>
      </c>
      <c r="J9" s="79" t="str">
        <f t="shared" si="1"/>
        <v>Lipiński Cyprian</v>
      </c>
      <c r="K9" s="69">
        <f>LARGE($E$2:$E$241,8)</f>
        <v>241.00015999999999</v>
      </c>
      <c r="L9" s="59">
        <f t="shared" si="3"/>
        <v>16</v>
      </c>
      <c r="M9" s="90" t="str">
        <f t="shared" si="2"/>
        <v>SP4 Pruszków</v>
      </c>
      <c r="N9" s="37">
        <v>8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3:34" ht="17.25" thickTop="1" thickBot="1">
      <c r="C10">
        <f>wyniki!N17</f>
        <v>139</v>
      </c>
      <c r="D10">
        <v>9.0000000000000006E-5</v>
      </c>
      <c r="E10">
        <f t="shared" si="0"/>
        <v>139.00009</v>
      </c>
      <c r="F10" t="str">
        <f>wyniki!$A$14</f>
        <v>PSP24 Radom</v>
      </c>
      <c r="G10" t="str">
        <f>wyniki!B17</f>
        <v>Markwat Natan</v>
      </c>
      <c r="J10" s="79" t="str">
        <f t="shared" si="1"/>
        <v>Karbowski Aleksander</v>
      </c>
      <c r="K10" s="69">
        <f>LARGE($E$2:$E$241,9)</f>
        <v>240.00037</v>
      </c>
      <c r="L10" s="59">
        <f t="shared" si="3"/>
        <v>37</v>
      </c>
      <c r="M10" s="90" t="str">
        <f t="shared" si="2"/>
        <v>SP204 Warszawa</v>
      </c>
      <c r="N10" s="37">
        <v>9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3:34" ht="17.25" thickTop="1" thickBot="1">
      <c r="C11">
        <f>wyniki!N18</f>
        <v>169</v>
      </c>
      <c r="D11">
        <v>1E-4</v>
      </c>
      <c r="E11">
        <f t="shared" si="0"/>
        <v>169.0001</v>
      </c>
      <c r="F11" t="str">
        <f>wyniki!$A$14</f>
        <v>PSP24 Radom</v>
      </c>
      <c r="G11" t="str">
        <f>wyniki!B18</f>
        <v>Nowak Aleksander</v>
      </c>
      <c r="J11" s="79" t="str">
        <f t="shared" si="1"/>
        <v>Tomiczak Jan</v>
      </c>
      <c r="K11" s="69">
        <f>LARGE($E$2:$E$241,10)</f>
        <v>239.00053</v>
      </c>
      <c r="L11" s="59">
        <f t="shared" si="3"/>
        <v>53</v>
      </c>
      <c r="M11" s="90" t="str">
        <f t="shared" si="2"/>
        <v>SP154 Warszawa</v>
      </c>
      <c r="N11" s="37">
        <v>10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</row>
    <row r="12" spans="3:34" ht="17.25" thickTop="1" thickBot="1">
      <c r="C12">
        <f>wyniki!N19</f>
        <v>183</v>
      </c>
      <c r="D12">
        <v>1.1E-4</v>
      </c>
      <c r="E12">
        <f t="shared" si="0"/>
        <v>183.00011000000001</v>
      </c>
      <c r="F12" t="str">
        <f>wyniki!$A$14</f>
        <v>PSP24 Radom</v>
      </c>
      <c r="G12" t="str">
        <f>wyniki!B19</f>
        <v>Trzos Szymon</v>
      </c>
      <c r="J12" s="79" t="str">
        <f t="shared" si="1"/>
        <v>Wójcicki Maciej</v>
      </c>
      <c r="K12" s="69">
        <f>LARGE($E$2:$E$241,11)</f>
        <v>236.00048000000001</v>
      </c>
      <c r="L12" s="59">
        <f t="shared" si="3"/>
        <v>48</v>
      </c>
      <c r="M12" s="90" t="str">
        <f t="shared" si="2"/>
        <v>SP Zielonki Parcela</v>
      </c>
      <c r="N12" s="37">
        <v>11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3:34" ht="17.25" thickTop="1" thickBot="1">
      <c r="C13">
        <f>wyniki!N20</f>
        <v>0</v>
      </c>
      <c r="D13">
        <v>1.2E-4</v>
      </c>
      <c r="E13">
        <f t="shared" si="0"/>
        <v>1.2E-4</v>
      </c>
      <c r="F13" t="str">
        <f>wyniki!$A$14</f>
        <v>PSP24 Radom</v>
      </c>
      <c r="G13">
        <f>wyniki!B20</f>
        <v>0</v>
      </c>
      <c r="J13" s="79" t="str">
        <f t="shared" si="1"/>
        <v>Terlikowski Ignacy</v>
      </c>
      <c r="K13" s="69">
        <f>LARGE($E$2:$E$241,12)</f>
        <v>228.00030000000001</v>
      </c>
      <c r="L13" s="59">
        <f t="shared" si="3"/>
        <v>30</v>
      </c>
      <c r="M13" s="90" t="str">
        <f t="shared" si="2"/>
        <v>SP9 Siedlce</v>
      </c>
      <c r="N13" s="37">
        <v>12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</row>
    <row r="14" spans="3:34" ht="17.25" thickTop="1" thickBot="1">
      <c r="C14">
        <f>wyniki!N22</f>
        <v>201</v>
      </c>
      <c r="D14">
        <v>1.2999999999999999E-4</v>
      </c>
      <c r="E14">
        <f t="shared" si="0"/>
        <v>201.00013000000001</v>
      </c>
      <c r="F14" t="str">
        <f>wyniki!$A$21</f>
        <v>SP4 Pruszków</v>
      </c>
      <c r="G14" t="str">
        <f>wyniki!B22</f>
        <v>Dąbrowski Aleksander</v>
      </c>
      <c r="J14" s="79" t="str">
        <f t="shared" si="1"/>
        <v>Miron Artur</v>
      </c>
      <c r="K14" s="69">
        <f>LARGE($E$2:$E$241,13)</f>
        <v>226.00017</v>
      </c>
      <c r="L14" s="59">
        <f t="shared" si="3"/>
        <v>17</v>
      </c>
      <c r="M14" s="90" t="str">
        <f t="shared" si="2"/>
        <v>SP4 Pruszków</v>
      </c>
      <c r="N14" s="37">
        <v>13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</row>
    <row r="15" spans="3:34" ht="17.25" thickTop="1" thickBot="1">
      <c r="C15">
        <f>wyniki!N23</f>
        <v>226</v>
      </c>
      <c r="D15">
        <v>1.3999999999999999E-4</v>
      </c>
      <c r="E15">
        <f t="shared" si="0"/>
        <v>226.00013999999999</v>
      </c>
      <c r="F15" t="str">
        <f>wyniki!$A$21</f>
        <v>SP4 Pruszków</v>
      </c>
      <c r="G15" t="str">
        <f>wyniki!B23</f>
        <v>Kushchak Kamil</v>
      </c>
      <c r="J15" s="79" t="str">
        <f t="shared" si="1"/>
        <v>Kushchak Kamil</v>
      </c>
      <c r="K15" s="69">
        <f>LARGE($E$2:$E$241,14)</f>
        <v>226.00013999999999</v>
      </c>
      <c r="L15" s="59">
        <f t="shared" si="3"/>
        <v>14</v>
      </c>
      <c r="M15" s="90" t="str">
        <f t="shared" si="2"/>
        <v>SP4 Pruszków</v>
      </c>
      <c r="N15" s="37">
        <v>14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</row>
    <row r="16" spans="3:34" ht="17.25" thickTop="1" thickBot="1">
      <c r="C16">
        <f>wyniki!N24</f>
        <v>213</v>
      </c>
      <c r="D16">
        <v>1.4999999999999999E-4</v>
      </c>
      <c r="E16">
        <f t="shared" si="0"/>
        <v>213.00014999999999</v>
      </c>
      <c r="F16" t="str">
        <f>wyniki!$A$21</f>
        <v>SP4 Pruszków</v>
      </c>
      <c r="G16" t="str">
        <f>wyniki!B24</f>
        <v>Kwiatkowski Julian</v>
      </c>
      <c r="J16" s="79" t="str">
        <f t="shared" si="1"/>
        <v>Tuczyński Aleksander</v>
      </c>
      <c r="K16" s="69">
        <f>LARGE($E$2:$E$241,15)</f>
        <v>222.00040000000001</v>
      </c>
      <c r="L16" s="59">
        <f t="shared" si="3"/>
        <v>40</v>
      </c>
      <c r="M16" s="90" t="str">
        <f t="shared" si="2"/>
        <v>SP204 Warszawa</v>
      </c>
      <c r="N16" s="37">
        <v>15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3:34" ht="17.25" thickTop="1" thickBot="1">
      <c r="C17">
        <f>wyniki!N25</f>
        <v>241</v>
      </c>
      <c r="D17">
        <v>1.6000000000000001E-4</v>
      </c>
      <c r="E17">
        <f t="shared" si="0"/>
        <v>241.00015999999999</v>
      </c>
      <c r="F17" t="str">
        <f>wyniki!$A$21</f>
        <v>SP4 Pruszków</v>
      </c>
      <c r="G17" t="str">
        <f>wyniki!B25</f>
        <v>Lipiński Cyprian</v>
      </c>
      <c r="J17" s="79" t="str">
        <f t="shared" si="1"/>
        <v>Mirecki Mateusz</v>
      </c>
      <c r="K17" s="69">
        <f>LARGE($E$2:$E$241,16)</f>
        <v>221.00038000000001</v>
      </c>
      <c r="L17" s="59">
        <f t="shared" si="3"/>
        <v>38</v>
      </c>
      <c r="M17" s="90" t="str">
        <f t="shared" si="2"/>
        <v>SP204 Warszawa</v>
      </c>
      <c r="N17" s="37">
        <v>16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18" spans="3:34" ht="17.25" thickTop="1" thickBot="1">
      <c r="C18">
        <f>wyniki!N26</f>
        <v>226</v>
      </c>
      <c r="D18">
        <v>1.7000000000000001E-4</v>
      </c>
      <c r="E18">
        <f t="shared" si="0"/>
        <v>226.00017</v>
      </c>
      <c r="F18" t="str">
        <f>wyniki!$A$21</f>
        <v>SP4 Pruszków</v>
      </c>
      <c r="G18" t="str">
        <f>wyniki!B26</f>
        <v>Miron Artur</v>
      </c>
      <c r="J18" s="79" t="str">
        <f t="shared" si="1"/>
        <v>Zień Paweł</v>
      </c>
      <c r="K18" s="69">
        <f>LARGE($E$2:$E$241,17)</f>
        <v>221.00018</v>
      </c>
      <c r="L18" s="59">
        <f t="shared" si="3"/>
        <v>18</v>
      </c>
      <c r="M18" s="90" t="str">
        <f t="shared" si="2"/>
        <v>SP4 Pruszków</v>
      </c>
      <c r="N18" s="37">
        <v>17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3:34" ht="17.25" thickTop="1" thickBot="1">
      <c r="C19">
        <f>wyniki!N27</f>
        <v>221</v>
      </c>
      <c r="D19">
        <v>1.8000000000000001E-4</v>
      </c>
      <c r="E19">
        <f t="shared" si="0"/>
        <v>221.00018</v>
      </c>
      <c r="F19" t="str">
        <f>wyniki!$A$21</f>
        <v>SP4 Pruszków</v>
      </c>
      <c r="G19" t="str">
        <f>wyniki!B27</f>
        <v>Zień Paweł</v>
      </c>
      <c r="J19" s="79" t="str">
        <f t="shared" si="1"/>
        <v>Kwiatkowski Julian</v>
      </c>
      <c r="K19" s="69">
        <f>LARGE($E$2:$E$241,18)</f>
        <v>213.00014999999999</v>
      </c>
      <c r="L19" s="59">
        <f t="shared" si="3"/>
        <v>15</v>
      </c>
      <c r="M19" s="90" t="str">
        <f t="shared" si="2"/>
        <v>SP4 Pruszków</v>
      </c>
      <c r="N19" s="37">
        <v>18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3:34" ht="17.25" thickTop="1" thickBot="1">
      <c r="C20">
        <f>wyniki!N29</f>
        <v>166</v>
      </c>
      <c r="D20">
        <v>1.9000000000000001E-4</v>
      </c>
      <c r="E20">
        <f t="shared" si="0"/>
        <v>166.00019</v>
      </c>
      <c r="F20" t="str">
        <f>wyniki!$A$28</f>
        <v>SP2 Szydłowiec</v>
      </c>
      <c r="G20" t="str">
        <f>wyniki!B29</f>
        <v>Banaszczyk Dawid</v>
      </c>
      <c r="J20" s="79" t="str">
        <f t="shared" si="1"/>
        <v>Leszczyński Kacper</v>
      </c>
      <c r="K20" s="69">
        <f>LARGE($E$2:$E$241,19)</f>
        <v>208.00074000000001</v>
      </c>
      <c r="L20" s="59">
        <f t="shared" si="3"/>
        <v>74</v>
      </c>
      <c r="M20" s="90" t="str">
        <f t="shared" si="2"/>
        <v>SP18 Płock</v>
      </c>
      <c r="N20" s="37">
        <v>19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3:34" ht="17.25" thickTop="1" thickBot="1">
      <c r="C21">
        <f>wyniki!N30</f>
        <v>185</v>
      </c>
      <c r="D21">
        <v>2.0000000000000001E-4</v>
      </c>
      <c r="E21">
        <f t="shared" si="0"/>
        <v>185.00020000000001</v>
      </c>
      <c r="F21" t="str">
        <f>wyniki!$A$28</f>
        <v>SP2 Szydłowiec</v>
      </c>
      <c r="G21" t="str">
        <f>wyniki!B30</f>
        <v>Kroguec Antoni</v>
      </c>
      <c r="J21" s="79" t="str">
        <f t="shared" si="1"/>
        <v>Kobielski Mateusz</v>
      </c>
      <c r="K21" s="69">
        <f>LARGE($E$2:$E$241,20)</f>
        <v>204.00062</v>
      </c>
      <c r="L21" s="59">
        <f t="shared" si="3"/>
        <v>62</v>
      </c>
      <c r="M21" s="90" t="str">
        <f t="shared" si="2"/>
        <v>SP2 Zielonka</v>
      </c>
      <c r="N21" s="37">
        <v>20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3:34" ht="17.25" thickTop="1" thickBot="1">
      <c r="C22">
        <f>wyniki!N31</f>
        <v>178</v>
      </c>
      <c r="D22">
        <v>2.1000000000000001E-4</v>
      </c>
      <c r="E22">
        <f t="shared" si="0"/>
        <v>178.00021000000001</v>
      </c>
      <c r="F22" t="str">
        <f>wyniki!$A$28</f>
        <v>SP2 Szydłowiec</v>
      </c>
      <c r="G22" t="str">
        <f>wyniki!B31</f>
        <v>May Franciszek</v>
      </c>
      <c r="J22" s="79" t="str">
        <f t="shared" si="1"/>
        <v>Ługowski Bartosz</v>
      </c>
      <c r="K22" s="69">
        <f>LARGE($E$2:$E$241,21)</f>
        <v>204.00003000000001</v>
      </c>
      <c r="L22" s="59">
        <f t="shared" si="3"/>
        <v>3</v>
      </c>
      <c r="M22" s="90" t="str">
        <f t="shared" si="2"/>
        <v>SP8 Siedlce</v>
      </c>
      <c r="N22" s="37">
        <v>21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3:34" ht="17.25" thickTop="1" thickBot="1">
      <c r="C23">
        <f>wyniki!N32</f>
        <v>160</v>
      </c>
      <c r="D23">
        <v>2.2000000000000001E-4</v>
      </c>
      <c r="E23">
        <f t="shared" si="0"/>
        <v>160.00022000000001</v>
      </c>
      <c r="F23" t="str">
        <f>wyniki!$A$28</f>
        <v>SP2 Szydłowiec</v>
      </c>
      <c r="G23" t="str">
        <f>wyniki!B32</f>
        <v>Pawlak Kacper</v>
      </c>
      <c r="J23" s="79" t="str">
        <f t="shared" si="1"/>
        <v>Staszkiewicz Michał</v>
      </c>
      <c r="K23" s="69">
        <f>LARGE($E$2:$E$241,22)</f>
        <v>201.00051999999999</v>
      </c>
      <c r="L23" s="59">
        <f t="shared" si="3"/>
        <v>52</v>
      </c>
      <c r="M23" s="90" t="str">
        <f t="shared" si="2"/>
        <v>SP154 Warszawa</v>
      </c>
      <c r="N23" s="37">
        <v>22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3:34" ht="17.25" thickTop="1" thickBot="1">
      <c r="C24">
        <f>wyniki!N33</f>
        <v>158</v>
      </c>
      <c r="D24">
        <v>2.3000000000000001E-4</v>
      </c>
      <c r="E24">
        <f t="shared" si="0"/>
        <v>158.00022999999999</v>
      </c>
      <c r="F24" t="str">
        <f>wyniki!$A$28</f>
        <v>SP2 Szydłowiec</v>
      </c>
      <c r="G24" t="str">
        <f>wyniki!B33</f>
        <v>Sala Szymon</v>
      </c>
      <c r="J24" s="79" t="str">
        <f t="shared" si="1"/>
        <v>Baran Wiktor</v>
      </c>
      <c r="K24" s="69">
        <f>LARGE($E$2:$E$241,23)</f>
        <v>201.00031000000001</v>
      </c>
      <c r="L24" s="59">
        <f t="shared" si="3"/>
        <v>31</v>
      </c>
      <c r="M24" s="90" t="str">
        <f t="shared" si="2"/>
        <v>SP1 Ostrów Maz</v>
      </c>
      <c r="N24" s="37">
        <v>23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3:34" ht="17.25" thickTop="1" thickBot="1">
      <c r="C25">
        <f>wyniki!N34</f>
        <v>143</v>
      </c>
      <c r="D25">
        <v>2.4000000000000001E-4</v>
      </c>
      <c r="E25">
        <f t="shared" si="0"/>
        <v>143.00023999999999</v>
      </c>
      <c r="F25" t="str">
        <f>wyniki!$A$28</f>
        <v>SP2 Szydłowiec</v>
      </c>
      <c r="G25" t="str">
        <f>wyniki!B34</f>
        <v>Walasik Kacper</v>
      </c>
      <c r="J25" s="79" t="str">
        <f t="shared" si="1"/>
        <v>Dąbrowski Aleksander</v>
      </c>
      <c r="K25" s="69">
        <f>LARGE($E$2:$E$241,24)</f>
        <v>201.00013000000001</v>
      </c>
      <c r="L25" s="59">
        <f t="shared" si="3"/>
        <v>13</v>
      </c>
      <c r="M25" s="90" t="str">
        <f t="shared" si="2"/>
        <v>SP4 Pruszków</v>
      </c>
      <c r="N25" s="37">
        <v>24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3:34" ht="17.25" thickTop="1" thickBot="1">
      <c r="C26">
        <f>wyniki!N36</f>
        <v>191</v>
      </c>
      <c r="D26">
        <v>2.5000000000000001E-4</v>
      </c>
      <c r="E26">
        <f t="shared" si="0"/>
        <v>191.00024999999999</v>
      </c>
      <c r="F26" t="str">
        <f>wyniki!$A$35</f>
        <v>SP9 Siedlce</v>
      </c>
      <c r="G26" t="str">
        <f>wyniki!B36</f>
        <v>Dąbrowski Bartosz</v>
      </c>
      <c r="J26" s="79" t="str">
        <f t="shared" si="1"/>
        <v>Zawadzki Szymon</v>
      </c>
      <c r="K26" s="69">
        <f>LARGE($E$2:$E$241,25)</f>
        <v>200.00040999999999</v>
      </c>
      <c r="L26" s="59">
        <f t="shared" si="3"/>
        <v>41</v>
      </c>
      <c r="M26" s="90" t="str">
        <f t="shared" si="2"/>
        <v>SP204 Warszawa</v>
      </c>
      <c r="N26" s="37">
        <v>25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spans="3:34" ht="17.25" thickTop="1" thickBot="1">
      <c r="C27">
        <f>wyniki!N37</f>
        <v>249</v>
      </c>
      <c r="D27">
        <v>2.5999999999999998E-4</v>
      </c>
      <c r="E27">
        <f t="shared" si="0"/>
        <v>249.00026</v>
      </c>
      <c r="F27" t="str">
        <f>wyniki!$A$35</f>
        <v>SP9 Siedlce</v>
      </c>
      <c r="G27" t="str">
        <f>wyniki!B37</f>
        <v>Kamiński Mateusz</v>
      </c>
      <c r="J27" s="79" t="str">
        <f t="shared" si="1"/>
        <v>Michalski Piotr</v>
      </c>
      <c r="K27" s="69">
        <f>LARGE($E$2:$E$241,26)</f>
        <v>199.00076000000001</v>
      </c>
      <c r="L27" s="59">
        <f t="shared" si="3"/>
        <v>76</v>
      </c>
      <c r="M27" s="90" t="str">
        <f t="shared" si="2"/>
        <v>SP18 Płock</v>
      </c>
      <c r="N27" s="37">
        <v>26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spans="3:34" ht="17.25" thickTop="1" thickBot="1">
      <c r="C28">
        <f>wyniki!N38</f>
        <v>173</v>
      </c>
      <c r="D28">
        <v>2.7E-4</v>
      </c>
      <c r="E28">
        <f t="shared" si="0"/>
        <v>173.00027</v>
      </c>
      <c r="F28" t="str">
        <f>wyniki!$A$35</f>
        <v>SP9 Siedlce</v>
      </c>
      <c r="G28" t="str">
        <f>wyniki!B38</f>
        <v>Krasuski Jakub</v>
      </c>
      <c r="J28" s="79" t="str">
        <f t="shared" si="1"/>
        <v>Domżalski Szymon</v>
      </c>
      <c r="K28" s="69">
        <f>LARGE($E$2:$E$241,27)</f>
        <v>199.00067999999999</v>
      </c>
      <c r="L28" s="59">
        <f t="shared" si="3"/>
        <v>68</v>
      </c>
      <c r="M28" s="90" t="str">
        <f t="shared" si="2"/>
        <v>SP2 Mława</v>
      </c>
      <c r="N28" s="37">
        <v>27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3:34" ht="17.25" thickTop="1" thickBot="1">
      <c r="C29">
        <f>wyniki!N39</f>
        <v>171</v>
      </c>
      <c r="D29">
        <v>2.7999999999999998E-4</v>
      </c>
      <c r="E29">
        <f t="shared" si="0"/>
        <v>171.00028</v>
      </c>
      <c r="F29" t="str">
        <f>wyniki!$A$35</f>
        <v>SP9 Siedlce</v>
      </c>
      <c r="G29" t="str">
        <f>wyniki!B39</f>
        <v>Sajewicz Piotr</v>
      </c>
      <c r="J29" s="79" t="str">
        <f t="shared" si="1"/>
        <v>Maliszewski Michał</v>
      </c>
      <c r="K29" s="69">
        <f>LARGE($E$2:$E$241,28)</f>
        <v>198.00035</v>
      </c>
      <c r="L29" s="59">
        <f t="shared" si="3"/>
        <v>35</v>
      </c>
      <c r="M29" s="90" t="str">
        <f t="shared" si="2"/>
        <v>SP1 Ostrów Maz</v>
      </c>
      <c r="N29" s="37">
        <v>28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3:34" ht="17.25" thickTop="1" thickBot="1">
      <c r="C30">
        <f>wyniki!N40</f>
        <v>241</v>
      </c>
      <c r="D30">
        <v>2.9E-4</v>
      </c>
      <c r="E30">
        <f t="shared" si="0"/>
        <v>241.00029000000001</v>
      </c>
      <c r="F30" t="str">
        <f>wyniki!$A$35</f>
        <v>SP9 Siedlce</v>
      </c>
      <c r="G30" t="str">
        <f>wyniki!B40</f>
        <v>Sypiański Szymon</v>
      </c>
      <c r="J30" s="79" t="str">
        <f t="shared" si="1"/>
        <v>Iliński Aleksander</v>
      </c>
      <c r="K30" s="69">
        <f>LARGE($E$2:$E$241,29)</f>
        <v>198.00002000000001</v>
      </c>
      <c r="L30" s="59">
        <f t="shared" si="3"/>
        <v>2</v>
      </c>
      <c r="M30" s="90" t="str">
        <f t="shared" si="2"/>
        <v>SP8 Siedlce</v>
      </c>
      <c r="N30" s="37">
        <v>29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3:34" ht="17.25" thickTop="1" thickBot="1">
      <c r="C31">
        <f>wyniki!N41</f>
        <v>228</v>
      </c>
      <c r="D31">
        <v>2.9999999999999997E-4</v>
      </c>
      <c r="E31">
        <f t="shared" si="0"/>
        <v>228.00030000000001</v>
      </c>
      <c r="F31" t="str">
        <f>wyniki!$A$35</f>
        <v>SP9 Siedlce</v>
      </c>
      <c r="G31" t="str">
        <f>wyniki!B41</f>
        <v>Terlikowski Ignacy</v>
      </c>
      <c r="J31" s="79" t="str">
        <f t="shared" si="1"/>
        <v>Zieniewicz Franciszek</v>
      </c>
      <c r="K31" s="69">
        <f>LARGE($E$2:$E$241,30)</f>
        <v>196.00041999999999</v>
      </c>
      <c r="L31" s="59">
        <f t="shared" si="3"/>
        <v>42</v>
      </c>
      <c r="M31" s="90" t="str">
        <f t="shared" si="2"/>
        <v>SP204 Warszawa</v>
      </c>
      <c r="N31" s="37">
        <v>30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3:34" ht="17.25" thickTop="1" thickBot="1">
      <c r="C32">
        <f>wyniki!N43</f>
        <v>201</v>
      </c>
      <c r="D32">
        <v>3.1E-4</v>
      </c>
      <c r="E32">
        <f t="shared" si="0"/>
        <v>201.00031000000001</v>
      </c>
      <c r="F32" t="str">
        <f>wyniki!$A$42</f>
        <v>SP1 Ostrów Maz</v>
      </c>
      <c r="G32" t="str">
        <f>wyniki!B43</f>
        <v>Baran Wiktor</v>
      </c>
      <c r="J32" s="79" t="str">
        <f t="shared" si="1"/>
        <v>Cendrowski Kacper</v>
      </c>
      <c r="K32" s="69">
        <f>LARGE($E$2:$E$241,31)</f>
        <v>195.00067000000001</v>
      </c>
      <c r="L32" s="59">
        <f t="shared" si="3"/>
        <v>67</v>
      </c>
      <c r="M32" s="90" t="str">
        <f t="shared" si="2"/>
        <v>SP2 Mława</v>
      </c>
      <c r="N32" s="37">
        <v>31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  <row r="33" spans="3:34" ht="17.25" thickTop="1" thickBot="1">
      <c r="C33">
        <f>wyniki!N44</f>
        <v>125</v>
      </c>
      <c r="D33">
        <v>3.2000000000000003E-4</v>
      </c>
      <c r="E33">
        <f t="shared" si="0"/>
        <v>125.00032</v>
      </c>
      <c r="F33" t="str">
        <f>wyniki!$A$42</f>
        <v>SP1 Ostrów Maz</v>
      </c>
      <c r="G33" t="str">
        <f>wyniki!B44</f>
        <v>Kaczerski Kuba</v>
      </c>
      <c r="J33" s="79" t="str">
        <f t="shared" si="1"/>
        <v>Bryczyński Maksymilian</v>
      </c>
      <c r="K33" s="69">
        <f>LARGE($E$2:$E$241,32)</f>
        <v>195.00049000000001</v>
      </c>
      <c r="L33" s="59">
        <f t="shared" si="3"/>
        <v>49</v>
      </c>
      <c r="M33" s="90" t="str">
        <f t="shared" si="2"/>
        <v>SP154 Warszawa</v>
      </c>
      <c r="N33" s="37">
        <v>32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</row>
    <row r="34" spans="3:34" ht="17.25" thickTop="1" thickBot="1">
      <c r="C34">
        <f>wyniki!N45</f>
        <v>121</v>
      </c>
      <c r="D34">
        <v>3.3E-4</v>
      </c>
      <c r="E34">
        <f t="shared" si="0"/>
        <v>121.00033000000001</v>
      </c>
      <c r="F34" t="str">
        <f>wyniki!$A$42</f>
        <v>SP1 Ostrów Maz</v>
      </c>
      <c r="G34" t="str">
        <f>wyniki!B45</f>
        <v>Malec Alan</v>
      </c>
      <c r="J34" s="79" t="str">
        <f t="shared" si="1"/>
        <v>Maliszewski Jan</v>
      </c>
      <c r="K34" s="69">
        <f>LARGE($E$2:$E$241,33)</f>
        <v>192.00033999999999</v>
      </c>
      <c r="L34" s="59">
        <f t="shared" si="3"/>
        <v>34</v>
      </c>
      <c r="M34" s="90" t="str">
        <f t="shared" si="2"/>
        <v>SP1 Ostrów Maz</v>
      </c>
      <c r="N34" s="37">
        <v>33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3:34" ht="17.25" thickTop="1" thickBot="1">
      <c r="C35">
        <f>wyniki!N46</f>
        <v>192</v>
      </c>
      <c r="D35">
        <v>3.4000000000000002E-4</v>
      </c>
      <c r="E35">
        <f t="shared" si="0"/>
        <v>192.00033999999999</v>
      </c>
      <c r="F35" t="str">
        <f>wyniki!$A$42</f>
        <v>SP1 Ostrów Maz</v>
      </c>
      <c r="G35" t="str">
        <f>wyniki!B46</f>
        <v>Maliszewski Jan</v>
      </c>
      <c r="J35" s="79" t="str">
        <f t="shared" si="1"/>
        <v>Dąbrowski Bartosz</v>
      </c>
      <c r="K35" s="69">
        <f>LARGE($E$2:$E$241,34)</f>
        <v>191.00024999999999</v>
      </c>
      <c r="L35" s="59">
        <f t="shared" si="3"/>
        <v>25</v>
      </c>
      <c r="M35" s="90" t="str">
        <f t="shared" si="2"/>
        <v>SP9 Siedlce</v>
      </c>
      <c r="N35" s="37">
        <v>34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</row>
    <row r="36" spans="3:34" ht="17.25" thickTop="1" thickBot="1">
      <c r="C36">
        <f>wyniki!N47</f>
        <v>198</v>
      </c>
      <c r="D36">
        <v>3.5E-4</v>
      </c>
      <c r="E36">
        <f t="shared" si="0"/>
        <v>198.00035</v>
      </c>
      <c r="F36" t="str">
        <f>wyniki!$A$42</f>
        <v>SP1 Ostrów Maz</v>
      </c>
      <c r="G36" t="str">
        <f>wyniki!B47</f>
        <v>Maliszewski Michał</v>
      </c>
      <c r="J36" s="79" t="str">
        <f t="shared" si="1"/>
        <v>Jędrzejewski Kamil</v>
      </c>
      <c r="K36" s="69">
        <f>LARGE($E$2:$E$241,35)</f>
        <v>185.00068999999999</v>
      </c>
      <c r="L36" s="59">
        <f t="shared" si="3"/>
        <v>69</v>
      </c>
      <c r="M36" s="90" t="str">
        <f t="shared" si="2"/>
        <v>SP2 Mława</v>
      </c>
      <c r="N36" s="37">
        <v>35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</row>
    <row r="37" spans="3:34" ht="17.25" thickTop="1" thickBot="1">
      <c r="C37">
        <f>wyniki!N48</f>
        <v>247</v>
      </c>
      <c r="D37">
        <v>3.6000000000000002E-4</v>
      </c>
      <c r="E37">
        <f t="shared" si="0"/>
        <v>247.00036</v>
      </c>
      <c r="F37" t="str">
        <f>wyniki!$A$42</f>
        <v>SP1 Ostrów Maz</v>
      </c>
      <c r="G37" t="str">
        <f>wyniki!B48</f>
        <v>Równy Krystian</v>
      </c>
      <c r="J37" s="79" t="str">
        <f t="shared" si="1"/>
        <v>Kroguec Antoni</v>
      </c>
      <c r="K37" s="69">
        <f>LARGE($E$2:$E$241,36)</f>
        <v>185.00020000000001</v>
      </c>
      <c r="L37" s="59">
        <f t="shared" si="3"/>
        <v>20</v>
      </c>
      <c r="M37" s="90" t="str">
        <f t="shared" si="2"/>
        <v>SP2 Szydłowiec</v>
      </c>
      <c r="N37" s="37">
        <v>36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spans="3:34" ht="17.25" thickTop="1" thickBot="1">
      <c r="C38">
        <f>wyniki!N50</f>
        <v>240</v>
      </c>
      <c r="D38">
        <v>3.6999999999999999E-4</v>
      </c>
      <c r="E38">
        <f t="shared" si="0"/>
        <v>240.00037</v>
      </c>
      <c r="F38" t="str">
        <f>wyniki!$A$49</f>
        <v>SP204 Warszawa</v>
      </c>
      <c r="G38" t="str">
        <f>wyniki!B50</f>
        <v>Karbowski Aleksander</v>
      </c>
      <c r="J38" s="79" t="str">
        <f t="shared" si="1"/>
        <v>Komar Wojciech</v>
      </c>
      <c r="K38" s="69">
        <f>LARGE($E$2:$E$241,37)</f>
        <v>184.00008</v>
      </c>
      <c r="L38" s="59">
        <f t="shared" si="3"/>
        <v>8</v>
      </c>
      <c r="M38" s="90" t="str">
        <f t="shared" si="2"/>
        <v>PSP24 Radom</v>
      </c>
      <c r="N38" s="37">
        <v>37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3:34" ht="17.25" thickTop="1" thickBot="1">
      <c r="C39">
        <f>wyniki!N51</f>
        <v>221</v>
      </c>
      <c r="D39">
        <v>3.8000000000000002E-4</v>
      </c>
      <c r="E39">
        <f t="shared" si="0"/>
        <v>221.00038000000001</v>
      </c>
      <c r="F39" t="str">
        <f>wyniki!$A$49</f>
        <v>SP204 Warszawa</v>
      </c>
      <c r="G39" t="str">
        <f>wyniki!B51</f>
        <v>Mirecki Mateusz</v>
      </c>
      <c r="J39" s="79" t="str">
        <f t="shared" si="1"/>
        <v>Zaniemcha Nikodem</v>
      </c>
      <c r="K39" s="69">
        <f>LARGE($E$2:$E$241,38)</f>
        <v>183.00054</v>
      </c>
      <c r="L39" s="59">
        <f t="shared" si="3"/>
        <v>54</v>
      </c>
      <c r="M39" s="90" t="str">
        <f t="shared" si="2"/>
        <v>SP154 Warszawa</v>
      </c>
      <c r="N39" s="37">
        <v>38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spans="3:34" ht="17.25" thickTop="1" thickBot="1">
      <c r="C40">
        <f>wyniki!N52</f>
        <v>174</v>
      </c>
      <c r="D40">
        <v>3.8999999999999999E-4</v>
      </c>
      <c r="E40">
        <f t="shared" si="0"/>
        <v>174.00039000000001</v>
      </c>
      <c r="F40" t="str">
        <f>wyniki!$A$49</f>
        <v>SP204 Warszawa</v>
      </c>
      <c r="G40" t="str">
        <f>wyniki!B52</f>
        <v>Porębski Jakub</v>
      </c>
      <c r="J40" s="79" t="str">
        <f t="shared" si="1"/>
        <v>Stepień Wojciech</v>
      </c>
      <c r="K40" s="69">
        <f>LARGE($E$2:$E$241,39)</f>
        <v>183.00047000000001</v>
      </c>
      <c r="L40" s="59">
        <f t="shared" si="3"/>
        <v>47</v>
      </c>
      <c r="M40" s="90" t="str">
        <f t="shared" si="2"/>
        <v>SP Zielonki Parcela</v>
      </c>
      <c r="N40" s="37">
        <v>39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  <row r="41" spans="3:34" ht="17.25" thickTop="1" thickBot="1">
      <c r="C41">
        <f>wyniki!N53</f>
        <v>222</v>
      </c>
      <c r="D41">
        <v>4.0000000000000002E-4</v>
      </c>
      <c r="E41">
        <f t="shared" si="0"/>
        <v>222.00040000000001</v>
      </c>
      <c r="F41" t="str">
        <f>wyniki!$A$49</f>
        <v>SP204 Warszawa</v>
      </c>
      <c r="G41" t="str">
        <f>wyniki!B53</f>
        <v>Tuczyński Aleksander</v>
      </c>
      <c r="J41" s="79" t="str">
        <f t="shared" si="1"/>
        <v>Trzos Szymon</v>
      </c>
      <c r="K41" s="69">
        <f>LARGE($E$2:$E$241,40)</f>
        <v>183.00011000000001</v>
      </c>
      <c r="L41" s="59">
        <f t="shared" si="3"/>
        <v>11</v>
      </c>
      <c r="M41" s="90" t="str">
        <f t="shared" si="2"/>
        <v>PSP24 Radom</v>
      </c>
      <c r="N41" s="37">
        <v>40</v>
      </c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3:34" ht="17.25" thickTop="1" thickBot="1">
      <c r="C42">
        <f>wyniki!N54</f>
        <v>200</v>
      </c>
      <c r="D42">
        <v>4.0999999999999999E-4</v>
      </c>
      <c r="E42">
        <f t="shared" si="0"/>
        <v>200.00040999999999</v>
      </c>
      <c r="F42" t="str">
        <f>wyniki!$A$49</f>
        <v>SP204 Warszawa</v>
      </c>
      <c r="G42" t="str">
        <f>wyniki!B54</f>
        <v>Zawadzki Szymon</v>
      </c>
      <c r="J42" s="79" t="str">
        <f t="shared" si="1"/>
        <v>Dąbrowski Franciszek</v>
      </c>
      <c r="K42" s="69">
        <f>LARGE($E$2:$E$241,41)</f>
        <v>182.00049999999999</v>
      </c>
      <c r="L42" s="59">
        <f t="shared" si="3"/>
        <v>50</v>
      </c>
      <c r="M42" s="90" t="str">
        <f t="shared" si="2"/>
        <v>SP154 Warszawa</v>
      </c>
      <c r="N42" s="37">
        <v>41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3:34" ht="17.25" thickTop="1" thickBot="1">
      <c r="C43">
        <f>wyniki!N55</f>
        <v>196</v>
      </c>
      <c r="D43">
        <v>4.2000000000000002E-4</v>
      </c>
      <c r="E43">
        <f t="shared" si="0"/>
        <v>196.00041999999999</v>
      </c>
      <c r="F43" t="str">
        <f>wyniki!$A$49</f>
        <v>SP204 Warszawa</v>
      </c>
      <c r="G43" t="str">
        <f>wyniki!B55</f>
        <v>Zieniewicz Franciszek</v>
      </c>
      <c r="J43" s="79" t="str">
        <f t="shared" si="1"/>
        <v>Dyszkowski Mateusz</v>
      </c>
      <c r="K43" s="69">
        <f>LARGE($E$2:$E$241,42)</f>
        <v>182.00044</v>
      </c>
      <c r="L43" s="59">
        <f t="shared" si="3"/>
        <v>44</v>
      </c>
      <c r="M43" s="90" t="str">
        <f t="shared" si="2"/>
        <v>SP Zielonki Parcela</v>
      </c>
      <c r="N43" s="37">
        <v>42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spans="3:34" ht="17.25" thickTop="1" thickBot="1">
      <c r="C44">
        <f>wyniki!N57</f>
        <v>166</v>
      </c>
      <c r="D44">
        <v>4.2999999999999999E-4</v>
      </c>
      <c r="E44">
        <f t="shared" si="0"/>
        <v>166.00042999999999</v>
      </c>
      <c r="F44" t="str">
        <f>wyniki!$A$56</f>
        <v>SP Zielonki Parcela</v>
      </c>
      <c r="G44" t="str">
        <f>wyniki!B57</f>
        <v>Cisek Mikołaj</v>
      </c>
      <c r="J44" s="79" t="str">
        <f t="shared" si="1"/>
        <v>Dąbrowski Mateusz</v>
      </c>
      <c r="K44" s="69">
        <f>LARGE($E$2:$E$241,43)</f>
        <v>179.00001</v>
      </c>
      <c r="L44" s="59">
        <f t="shared" si="3"/>
        <v>1</v>
      </c>
      <c r="M44" s="90" t="str">
        <f t="shared" si="2"/>
        <v>SP8 Siedlce</v>
      </c>
      <c r="N44" s="37">
        <v>43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3:34" ht="17.25" thickTop="1" thickBot="1">
      <c r="C45">
        <f>wyniki!N58</f>
        <v>182</v>
      </c>
      <c r="D45">
        <v>4.4000000000000002E-4</v>
      </c>
      <c r="E45">
        <f t="shared" si="0"/>
        <v>182.00044</v>
      </c>
      <c r="F45" t="str">
        <f>wyniki!$A$56</f>
        <v>SP Zielonki Parcela</v>
      </c>
      <c r="G45" t="str">
        <f>wyniki!B58</f>
        <v>Dyszkowski Mateusz</v>
      </c>
      <c r="J45" s="79" t="str">
        <f t="shared" si="1"/>
        <v>May Franciszek</v>
      </c>
      <c r="K45" s="69">
        <f>LARGE($E$2:$E$241,44)</f>
        <v>178.00021000000001</v>
      </c>
      <c r="L45" s="59">
        <f t="shared" si="3"/>
        <v>21</v>
      </c>
      <c r="M45" s="90" t="str">
        <f t="shared" si="2"/>
        <v>SP2 Szydłowiec</v>
      </c>
      <c r="N45" s="37">
        <v>44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  <row r="46" spans="3:34" ht="17.25" thickTop="1" thickBot="1">
      <c r="C46">
        <f>wyniki!N59</f>
        <v>135</v>
      </c>
      <c r="D46">
        <v>4.4999999999999999E-4</v>
      </c>
      <c r="E46">
        <f t="shared" si="0"/>
        <v>135.00045</v>
      </c>
      <c r="F46" t="str">
        <f>wyniki!$A$56</f>
        <v>SP Zielonki Parcela</v>
      </c>
      <c r="G46" t="str">
        <f>wyniki!B59</f>
        <v>Kowalski Tymoteusz</v>
      </c>
      <c r="J46" s="79" t="str">
        <f t="shared" si="1"/>
        <v>Kołodziej Adam</v>
      </c>
      <c r="K46" s="69">
        <f>LARGE($E$2:$E$241,45)</f>
        <v>176.00073</v>
      </c>
      <c r="L46" s="59">
        <f t="shared" si="3"/>
        <v>73</v>
      </c>
      <c r="M46" s="90" t="str">
        <f t="shared" si="2"/>
        <v>SP18 Płock</v>
      </c>
      <c r="N46" s="37">
        <v>45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</row>
    <row r="47" spans="3:34" ht="17.25" thickTop="1" thickBot="1">
      <c r="C47">
        <f>wyniki!N60</f>
        <v>287</v>
      </c>
      <c r="D47">
        <v>4.6000000000000001E-4</v>
      </c>
      <c r="E47">
        <f t="shared" si="0"/>
        <v>287.00045999999998</v>
      </c>
      <c r="F47" t="str">
        <f>wyniki!$A$56</f>
        <v>SP Zielonki Parcela</v>
      </c>
      <c r="G47" t="str">
        <f>wyniki!B60</f>
        <v>Sołomski Oliwier</v>
      </c>
      <c r="J47" s="79" t="str">
        <f t="shared" si="1"/>
        <v>Urbaniak Igor</v>
      </c>
      <c r="K47" s="69">
        <f>LARGE($E$2:$E$241,46)</f>
        <v>176.00059999999999</v>
      </c>
      <c r="L47" s="59">
        <f t="shared" si="3"/>
        <v>60</v>
      </c>
      <c r="M47" s="90" t="str">
        <f t="shared" si="2"/>
        <v xml:space="preserve">SP Jednorożec </v>
      </c>
      <c r="N47" s="37">
        <v>46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</row>
    <row r="48" spans="3:34" ht="17.25" thickTop="1" thickBot="1">
      <c r="C48">
        <f>wyniki!N61</f>
        <v>183</v>
      </c>
      <c r="D48">
        <v>4.6999999999999999E-4</v>
      </c>
      <c r="E48">
        <f t="shared" si="0"/>
        <v>183.00047000000001</v>
      </c>
      <c r="F48" t="str">
        <f>wyniki!$A$56</f>
        <v>SP Zielonki Parcela</v>
      </c>
      <c r="G48" t="str">
        <f>wyniki!B61</f>
        <v>Stepień Wojciech</v>
      </c>
      <c r="J48" s="79" t="str">
        <f t="shared" si="1"/>
        <v>Sienkiewicz Marcin</v>
      </c>
      <c r="K48" s="69">
        <f>LARGE($E$2:$E$241,47)</f>
        <v>175.00065000000001</v>
      </c>
      <c r="L48" s="59">
        <f t="shared" si="3"/>
        <v>65</v>
      </c>
      <c r="M48" s="90" t="str">
        <f t="shared" si="2"/>
        <v>SP2 Zielonka</v>
      </c>
      <c r="N48" s="37">
        <v>47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</row>
    <row r="49" spans="3:34" ht="17.25" thickTop="1" thickBot="1">
      <c r="C49">
        <f>wyniki!N62</f>
        <v>236</v>
      </c>
      <c r="D49">
        <v>4.8000000000000001E-4</v>
      </c>
      <c r="E49">
        <f t="shared" si="0"/>
        <v>236.00048000000001</v>
      </c>
      <c r="F49" t="str">
        <f>wyniki!$A$56</f>
        <v>SP Zielonki Parcela</v>
      </c>
      <c r="G49" t="str">
        <f>wyniki!B62</f>
        <v>Wójcicki Maciej</v>
      </c>
      <c r="J49" s="79" t="str">
        <f t="shared" si="1"/>
        <v>Bakuła Dawid</v>
      </c>
      <c r="K49" s="69">
        <f>LARGE($E$2:$E$241,48)</f>
        <v>175.00056000000001</v>
      </c>
      <c r="L49" s="59">
        <f t="shared" si="3"/>
        <v>56</v>
      </c>
      <c r="M49" s="90" t="str">
        <f t="shared" si="2"/>
        <v xml:space="preserve">SP Jednorożec </v>
      </c>
      <c r="N49" s="37">
        <v>48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3:34" ht="17.25" thickTop="1" thickBot="1">
      <c r="C50">
        <f>wyniki!N64</f>
        <v>195</v>
      </c>
      <c r="D50">
        <v>4.8999999999999998E-4</v>
      </c>
      <c r="E50">
        <f t="shared" si="0"/>
        <v>195.00049000000001</v>
      </c>
      <c r="F50" t="str">
        <f>wyniki!$A$63</f>
        <v>SP154 Warszawa</v>
      </c>
      <c r="G50" t="str">
        <f>wyniki!B64</f>
        <v>Bryczyński Maksymilian</v>
      </c>
      <c r="J50" s="79" t="str">
        <f t="shared" si="1"/>
        <v>Lewandowski Bartosz</v>
      </c>
      <c r="K50" s="69">
        <f>LARGE($E$2:$E$241,49)</f>
        <v>174.00075000000001</v>
      </c>
      <c r="L50" s="59">
        <f t="shared" si="3"/>
        <v>75</v>
      </c>
      <c r="M50" s="90" t="str">
        <f t="shared" si="2"/>
        <v>SP18 Płock</v>
      </c>
      <c r="N50" s="37">
        <v>49</v>
      </c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3:34" ht="17.25" thickTop="1" thickBot="1">
      <c r="C51">
        <f>wyniki!N65</f>
        <v>182</v>
      </c>
      <c r="D51">
        <v>5.0000000000000001E-4</v>
      </c>
      <c r="E51">
        <f t="shared" si="0"/>
        <v>182.00049999999999</v>
      </c>
      <c r="F51" t="str">
        <f>wyniki!$A$63</f>
        <v>SP154 Warszawa</v>
      </c>
      <c r="G51" t="str">
        <f>wyniki!B65</f>
        <v>Dąbrowski Franciszek</v>
      </c>
      <c r="J51" s="79" t="str">
        <f t="shared" si="1"/>
        <v>Porębski Jakub</v>
      </c>
      <c r="K51" s="69">
        <f>LARGE($E$2:$E$241,50)</f>
        <v>174.00039000000001</v>
      </c>
      <c r="L51" s="59">
        <f t="shared" si="3"/>
        <v>39</v>
      </c>
      <c r="M51" s="90" t="str">
        <f t="shared" si="2"/>
        <v>SP204 Warszawa</v>
      </c>
      <c r="N51" s="37">
        <v>50</v>
      </c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3:34" ht="17.25" thickTop="1" thickBot="1">
      <c r="C52">
        <f>wyniki!N66</f>
        <v>303</v>
      </c>
      <c r="D52">
        <v>5.1000000000000004E-4</v>
      </c>
      <c r="E52">
        <f t="shared" si="0"/>
        <v>303.00051000000002</v>
      </c>
      <c r="F52" t="str">
        <f>wyniki!$A$63</f>
        <v>SP154 Warszawa</v>
      </c>
      <c r="G52" t="str">
        <f>wyniki!B66</f>
        <v>Kałęcki Bartosz</v>
      </c>
      <c r="J52" s="79" t="str">
        <f t="shared" si="1"/>
        <v>Krasuski Jakub</v>
      </c>
      <c r="K52" s="69">
        <f>LARGE($E$2:$E$241,51)</f>
        <v>173.00027</v>
      </c>
      <c r="L52" s="59">
        <f t="shared" si="3"/>
        <v>27</v>
      </c>
      <c r="M52" s="90" t="str">
        <f t="shared" si="2"/>
        <v>SP9 Siedlce</v>
      </c>
      <c r="N52" s="37">
        <v>51</v>
      </c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3:34" ht="17.25" thickTop="1" thickBot="1">
      <c r="C53">
        <f>wyniki!N67</f>
        <v>201</v>
      </c>
      <c r="D53">
        <v>5.1999999999999995E-4</v>
      </c>
      <c r="E53">
        <f t="shared" si="0"/>
        <v>201.00051999999999</v>
      </c>
      <c r="F53" t="str">
        <f>wyniki!$A$63</f>
        <v>SP154 Warszawa</v>
      </c>
      <c r="G53" t="str">
        <f>wyniki!B67</f>
        <v>Staszkiewicz Michał</v>
      </c>
      <c r="J53" s="79" t="str">
        <f t="shared" si="1"/>
        <v>Sajewicz Piotr</v>
      </c>
      <c r="K53" s="69">
        <f>LARGE($E$2:$E$241,52)</f>
        <v>171.00028</v>
      </c>
      <c r="L53" s="59">
        <f t="shared" si="3"/>
        <v>28</v>
      </c>
      <c r="M53" s="90" t="str">
        <f t="shared" si="2"/>
        <v>SP9 Siedlce</v>
      </c>
      <c r="N53" s="37">
        <v>52</v>
      </c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3:34" ht="17.25" thickTop="1" thickBot="1">
      <c r="C54">
        <f>wyniki!N68</f>
        <v>239</v>
      </c>
      <c r="D54">
        <v>5.2999999999999998E-4</v>
      </c>
      <c r="E54">
        <f t="shared" si="0"/>
        <v>239.00053</v>
      </c>
      <c r="F54" t="str">
        <f>wyniki!$A$63</f>
        <v>SP154 Warszawa</v>
      </c>
      <c r="G54" t="str">
        <f>wyniki!B68</f>
        <v>Tomiczak Jan</v>
      </c>
      <c r="J54" s="79" t="str">
        <f t="shared" si="1"/>
        <v>Bonalski Maciej</v>
      </c>
      <c r="K54" s="69">
        <f>LARGE($E$2:$E$241,53)</f>
        <v>169.00057000000001</v>
      </c>
      <c r="L54" s="59">
        <f t="shared" si="3"/>
        <v>57</v>
      </c>
      <c r="M54" s="90" t="str">
        <f t="shared" si="2"/>
        <v xml:space="preserve">SP Jednorożec </v>
      </c>
      <c r="N54" s="37">
        <v>53</v>
      </c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3:34" ht="17.25" thickTop="1" thickBot="1">
      <c r="C55">
        <f>wyniki!N69</f>
        <v>183</v>
      </c>
      <c r="D55">
        <v>5.4000000000000001E-4</v>
      </c>
      <c r="E55">
        <f t="shared" si="0"/>
        <v>183.00054</v>
      </c>
      <c r="F55" t="str">
        <f>wyniki!$A$63</f>
        <v>SP154 Warszawa</v>
      </c>
      <c r="G55" t="str">
        <f>wyniki!B69</f>
        <v>Zaniemcha Nikodem</v>
      </c>
      <c r="J55" s="79" t="str">
        <f t="shared" si="1"/>
        <v>Nowak Aleksander</v>
      </c>
      <c r="K55" s="69">
        <f>LARGE($E$2:$E$241,54)</f>
        <v>169.0001</v>
      </c>
      <c r="L55" s="59">
        <f t="shared" si="3"/>
        <v>10</v>
      </c>
      <c r="M55" s="90" t="str">
        <f t="shared" si="2"/>
        <v>PSP24 Radom</v>
      </c>
      <c r="N55" s="37">
        <v>54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3:34" ht="17.25" thickTop="1" thickBot="1">
      <c r="C56">
        <f>wyniki!N71</f>
        <v>158</v>
      </c>
      <c r="D56">
        <v>5.5000000000000003E-4</v>
      </c>
      <c r="E56">
        <f t="shared" si="0"/>
        <v>158.00055</v>
      </c>
      <c r="F56" t="str">
        <f>wyniki!$A$70</f>
        <v xml:space="preserve">SP Jednorożec </v>
      </c>
      <c r="G56" t="str">
        <f>wyniki!B71</f>
        <v>Antosiak Maciej</v>
      </c>
      <c r="J56" s="79" t="str">
        <f t="shared" si="1"/>
        <v>Ducki Michał</v>
      </c>
      <c r="K56" s="69">
        <f>LARGE($E$2:$E$241,55)</f>
        <v>166.00063</v>
      </c>
      <c r="L56" s="59">
        <f t="shared" si="3"/>
        <v>63</v>
      </c>
      <c r="M56" s="90" t="str">
        <f t="shared" si="2"/>
        <v>SP2 Zielonka</v>
      </c>
      <c r="N56" s="37">
        <v>55</v>
      </c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3:34" ht="17.25" thickTop="1" thickBot="1">
      <c r="C57">
        <f>wyniki!N72</f>
        <v>175</v>
      </c>
      <c r="D57">
        <v>5.5999999999999995E-4</v>
      </c>
      <c r="E57">
        <f t="shared" si="0"/>
        <v>175.00056000000001</v>
      </c>
      <c r="F57" t="str">
        <f>wyniki!$A$70</f>
        <v xml:space="preserve">SP Jednorożec </v>
      </c>
      <c r="G57" t="str">
        <f>wyniki!B72</f>
        <v>Bakuła Dawid</v>
      </c>
      <c r="J57" s="79" t="str">
        <f t="shared" si="1"/>
        <v>Cisek Mikołaj</v>
      </c>
      <c r="K57" s="69">
        <f>LARGE($E$2:$E$241,56)</f>
        <v>166.00042999999999</v>
      </c>
      <c r="L57" s="59">
        <f t="shared" si="3"/>
        <v>43</v>
      </c>
      <c r="M57" s="90" t="str">
        <f t="shared" si="2"/>
        <v>SP Zielonki Parcela</v>
      </c>
      <c r="N57" s="37">
        <v>56</v>
      </c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spans="3:34" ht="17.25" thickTop="1" thickBot="1">
      <c r="C58">
        <f>wyniki!N73</f>
        <v>169</v>
      </c>
      <c r="D58">
        <v>5.6999999999999998E-4</v>
      </c>
      <c r="E58">
        <f t="shared" si="0"/>
        <v>169.00057000000001</v>
      </c>
      <c r="F58" t="str">
        <f>wyniki!$A$70</f>
        <v xml:space="preserve">SP Jednorożec </v>
      </c>
      <c r="G58" t="str">
        <f>wyniki!B73</f>
        <v>Bonalski Maciej</v>
      </c>
      <c r="J58" s="79" t="str">
        <f t="shared" si="1"/>
        <v>Banaszczyk Dawid</v>
      </c>
      <c r="K58" s="69">
        <f>LARGE($E$2:$E$241,57)</f>
        <v>166.00019</v>
      </c>
      <c r="L58" s="59">
        <f t="shared" si="3"/>
        <v>19</v>
      </c>
      <c r="M58" s="90" t="str">
        <f t="shared" si="2"/>
        <v>SP2 Szydłowiec</v>
      </c>
      <c r="N58" s="37">
        <v>57</v>
      </c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</row>
    <row r="59" spans="3:34" ht="17.25" thickTop="1" thickBot="1">
      <c r="C59">
        <f>wyniki!N74</f>
        <v>145</v>
      </c>
      <c r="D59">
        <v>5.8E-4</v>
      </c>
      <c r="E59">
        <f t="shared" si="0"/>
        <v>145.00058000000001</v>
      </c>
      <c r="F59" t="str">
        <f>wyniki!$A$70</f>
        <v xml:space="preserve">SP Jednorożec </v>
      </c>
      <c r="G59" t="str">
        <f>wyniki!B74</f>
        <v>Bors Paweł</v>
      </c>
      <c r="J59" s="79" t="str">
        <f t="shared" si="1"/>
        <v>Zwierzchowski Krystian</v>
      </c>
      <c r="K59" s="69">
        <f>LARGE($E$2:$E$241,58)</f>
        <v>164.00066000000001</v>
      </c>
      <c r="L59" s="59">
        <f t="shared" si="3"/>
        <v>66</v>
      </c>
      <c r="M59" s="90" t="str">
        <f t="shared" si="2"/>
        <v>SP2 Zielonka</v>
      </c>
      <c r="N59" s="37">
        <v>58</v>
      </c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</row>
    <row r="60" spans="3:34" ht="17.25" thickTop="1" thickBot="1">
      <c r="C60">
        <f>wyniki!N75</f>
        <v>150</v>
      </c>
      <c r="D60">
        <v>5.9000000000000003E-4</v>
      </c>
      <c r="E60">
        <f t="shared" si="0"/>
        <v>150.00058999999999</v>
      </c>
      <c r="F60" t="str">
        <f>wyniki!$A$70</f>
        <v xml:space="preserve">SP Jednorożec </v>
      </c>
      <c r="G60" t="str">
        <f>wyniki!B75</f>
        <v>Pękala Bartłomiej</v>
      </c>
      <c r="J60" s="79" t="str">
        <f t="shared" si="1"/>
        <v>Starzak Brajan</v>
      </c>
      <c r="K60" s="69">
        <f>LARGE($E$2:$E$241,59)</f>
        <v>160.00069999999999</v>
      </c>
      <c r="L60" s="59">
        <f t="shared" si="3"/>
        <v>70</v>
      </c>
      <c r="M60" s="90" t="str">
        <f t="shared" si="2"/>
        <v>SP2 Mława</v>
      </c>
      <c r="N60" s="37">
        <v>59</v>
      </c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</row>
    <row r="61" spans="3:34" ht="17.25" thickTop="1" thickBot="1">
      <c r="C61">
        <f>wyniki!N76</f>
        <v>176</v>
      </c>
      <c r="D61">
        <v>5.9999999999999995E-4</v>
      </c>
      <c r="E61">
        <f t="shared" si="0"/>
        <v>176.00059999999999</v>
      </c>
      <c r="F61" t="str">
        <f>wyniki!$A$70</f>
        <v xml:space="preserve">SP Jednorożec </v>
      </c>
      <c r="G61" t="str">
        <f>wyniki!B76</f>
        <v>Urbaniak Igor</v>
      </c>
      <c r="J61" s="79" t="str">
        <f t="shared" si="1"/>
        <v>Pawlak Kacper</v>
      </c>
      <c r="K61" s="69">
        <f>LARGE($E$2:$E$241,60)</f>
        <v>160.00022000000001</v>
      </c>
      <c r="L61" s="59">
        <f t="shared" si="3"/>
        <v>22</v>
      </c>
      <c r="M61" s="90" t="str">
        <f t="shared" si="2"/>
        <v>SP2 Szydłowiec</v>
      </c>
      <c r="N61" s="37">
        <v>60</v>
      </c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</row>
    <row r="62" spans="3:34" ht="17.25" thickTop="1" thickBot="1">
      <c r="C62">
        <f>wyniki!N78</f>
        <v>300</v>
      </c>
      <c r="D62">
        <v>6.0999999999999997E-4</v>
      </c>
      <c r="E62">
        <f t="shared" si="0"/>
        <v>300.00060999999999</v>
      </c>
      <c r="F62" t="str">
        <f>wyniki!$A$77</f>
        <v>SP2 Zielonka</v>
      </c>
      <c r="G62" t="str">
        <f>wyniki!B78</f>
        <v>Balcer Antoni</v>
      </c>
      <c r="J62" s="79" t="str">
        <f t="shared" si="1"/>
        <v>Kochański Adrian</v>
      </c>
      <c r="K62" s="69">
        <f>LARGE($E$2:$E$241,61)</f>
        <v>158.00064</v>
      </c>
      <c r="L62" s="59">
        <f t="shared" si="3"/>
        <v>64</v>
      </c>
      <c r="M62" s="90" t="str">
        <f t="shared" si="2"/>
        <v>SP2 Zielonka</v>
      </c>
      <c r="N62" s="37">
        <v>61</v>
      </c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</row>
    <row r="63" spans="3:34" ht="17.25" thickTop="1" thickBot="1">
      <c r="C63">
        <f>wyniki!N79</f>
        <v>204</v>
      </c>
      <c r="D63">
        <v>6.2E-4</v>
      </c>
      <c r="E63">
        <f t="shared" si="0"/>
        <v>204.00062</v>
      </c>
      <c r="F63" t="str">
        <f>wyniki!$A$77</f>
        <v>SP2 Zielonka</v>
      </c>
      <c r="G63" t="str">
        <f>wyniki!B79</f>
        <v>Kobielski Mateusz</v>
      </c>
      <c r="J63" s="79" t="str">
        <f t="shared" si="1"/>
        <v>Antosiak Maciej</v>
      </c>
      <c r="K63" s="69">
        <f>LARGE($E$2:$E$241,62)</f>
        <v>158.00055</v>
      </c>
      <c r="L63" s="59">
        <f t="shared" si="3"/>
        <v>55</v>
      </c>
      <c r="M63" s="90" t="str">
        <f t="shared" si="2"/>
        <v xml:space="preserve">SP Jednorożec </v>
      </c>
      <c r="N63" s="37">
        <v>62</v>
      </c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spans="3:34" ht="17.25" thickTop="1" thickBot="1">
      <c r="C64">
        <f>wyniki!N80</f>
        <v>166</v>
      </c>
      <c r="D64">
        <v>6.3000000000000003E-4</v>
      </c>
      <c r="E64">
        <f t="shared" si="0"/>
        <v>166.00063</v>
      </c>
      <c r="F64" t="str">
        <f>wyniki!$A$77</f>
        <v>SP2 Zielonka</v>
      </c>
      <c r="G64" t="str">
        <f>wyniki!B80</f>
        <v>Ducki Michał</v>
      </c>
      <c r="J64" s="79" t="str">
        <f t="shared" si="1"/>
        <v>Sala Szymon</v>
      </c>
      <c r="K64" s="69">
        <f>LARGE($E$2:$E$241,63)</f>
        <v>158.00022999999999</v>
      </c>
      <c r="L64" s="59">
        <f t="shared" si="3"/>
        <v>23</v>
      </c>
      <c r="M64" s="90" t="str">
        <f t="shared" si="2"/>
        <v>SP2 Szydłowiec</v>
      </c>
      <c r="N64" s="37">
        <v>63</v>
      </c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</row>
    <row r="65" spans="3:34" ht="17.25" thickTop="1" thickBot="1">
      <c r="C65">
        <f>wyniki!N81</f>
        <v>158</v>
      </c>
      <c r="D65">
        <v>6.4000000000000005E-4</v>
      </c>
      <c r="E65">
        <f t="shared" si="0"/>
        <v>158.00064</v>
      </c>
      <c r="F65" t="str">
        <f>wyniki!$A$77</f>
        <v>SP2 Zielonka</v>
      </c>
      <c r="G65" t="str">
        <f>wyniki!B81</f>
        <v>Kochański Adrian</v>
      </c>
      <c r="J65" s="79" t="str">
        <f t="shared" si="1"/>
        <v>Redes Maciej</v>
      </c>
      <c r="K65" s="69">
        <f>LARGE($E$2:$E$241,64)</f>
        <v>155.00004000000001</v>
      </c>
      <c r="L65" s="59">
        <f t="shared" si="3"/>
        <v>4</v>
      </c>
      <c r="M65" s="90" t="str">
        <f t="shared" si="2"/>
        <v>SP8 Siedlce</v>
      </c>
      <c r="N65" s="37">
        <v>64</v>
      </c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</row>
    <row r="66" spans="3:34" ht="17.25" thickTop="1" thickBot="1">
      <c r="C66">
        <f>wyniki!N82</f>
        <v>175</v>
      </c>
      <c r="D66">
        <v>6.4999999999999997E-4</v>
      </c>
      <c r="E66">
        <f t="shared" si="0"/>
        <v>175.00065000000001</v>
      </c>
      <c r="F66" t="str">
        <f>wyniki!$A$77</f>
        <v>SP2 Zielonka</v>
      </c>
      <c r="G66" t="str">
        <f>wyniki!B82</f>
        <v>Sienkiewicz Marcin</v>
      </c>
      <c r="J66" s="79" t="str">
        <f t="shared" si="1"/>
        <v>Pękala Bartłomiej</v>
      </c>
      <c r="K66" s="69">
        <f>LARGE($E$2:$E$241,65)</f>
        <v>150.00058999999999</v>
      </c>
      <c r="L66" s="59">
        <f t="shared" si="3"/>
        <v>59</v>
      </c>
      <c r="M66" s="90" t="str">
        <f t="shared" si="2"/>
        <v xml:space="preserve">SP Jednorożec </v>
      </c>
      <c r="N66" s="37">
        <v>65</v>
      </c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</row>
    <row r="67" spans="3:34" ht="17.25" thickTop="1" thickBot="1">
      <c r="C67">
        <f>wyniki!N83</f>
        <v>164</v>
      </c>
      <c r="D67">
        <v>6.6E-4</v>
      </c>
      <c r="E67">
        <f t="shared" ref="E67:E130" si="4">C67+D67</f>
        <v>164.00066000000001</v>
      </c>
      <c r="F67" t="str">
        <f>wyniki!$A$77</f>
        <v>SP2 Zielonka</v>
      </c>
      <c r="G67" t="str">
        <f>wyniki!B83</f>
        <v>Zwierzchowski Krystian</v>
      </c>
      <c r="J67" s="79" t="str">
        <f t="shared" ref="J67:J130" si="5">INDEX($E$2:$G$241,L67,3)</f>
        <v>Bors Paweł</v>
      </c>
      <c r="K67" s="69">
        <f>LARGE($E$2:$E$241,66)</f>
        <v>145.00058000000001</v>
      </c>
      <c r="L67" s="59">
        <f t="shared" si="3"/>
        <v>58</v>
      </c>
      <c r="M67" s="90" t="str">
        <f t="shared" ref="M67:M130" si="6">INDEX($E$2:$F$241,L67,2)</f>
        <v xml:space="preserve">SP Jednorożec </v>
      </c>
      <c r="N67" s="37">
        <v>66</v>
      </c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</row>
    <row r="68" spans="3:34" ht="17.25" thickTop="1" thickBot="1">
      <c r="C68">
        <f>wyniki!N85</f>
        <v>195</v>
      </c>
      <c r="D68">
        <v>6.7000000000000002E-4</v>
      </c>
      <c r="E68">
        <f t="shared" si="4"/>
        <v>195.00067000000001</v>
      </c>
      <c r="F68" t="str">
        <f>wyniki!$A$84</f>
        <v>SP2 Mława</v>
      </c>
      <c r="G68" t="str">
        <f>wyniki!B85</f>
        <v>Cendrowski Kacper</v>
      </c>
      <c r="J68" s="79" t="str">
        <f t="shared" si="5"/>
        <v>Nitychoruk Maciej</v>
      </c>
      <c r="K68" s="69">
        <f>LARGE($E$2:$E$241,67)</f>
        <v>145.00005999999999</v>
      </c>
      <c r="L68" s="59">
        <f t="shared" ref="L68:L131" si="7">MATCH(K68,$E$2:$E$241,0)</f>
        <v>6</v>
      </c>
      <c r="M68" s="90" t="str">
        <f t="shared" si="6"/>
        <v>SP8 Siedlce</v>
      </c>
      <c r="N68" s="37">
        <v>67</v>
      </c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spans="3:34" ht="17.25" thickTop="1" thickBot="1">
      <c r="C69">
        <f>wyniki!N86</f>
        <v>199</v>
      </c>
      <c r="D69">
        <v>6.8000000000000005E-4</v>
      </c>
      <c r="E69">
        <f t="shared" si="4"/>
        <v>199.00067999999999</v>
      </c>
      <c r="F69" t="str">
        <f>wyniki!$A$84</f>
        <v>SP2 Mława</v>
      </c>
      <c r="G69" t="str">
        <f>wyniki!B86</f>
        <v>Domżalski Szymon</v>
      </c>
      <c r="J69" s="79" t="str">
        <f t="shared" si="5"/>
        <v>Walasik Kacper</v>
      </c>
      <c r="K69" s="69">
        <f>LARGE($E$2:$E$241,68)</f>
        <v>143.00023999999999</v>
      </c>
      <c r="L69" s="59">
        <f t="shared" si="7"/>
        <v>24</v>
      </c>
      <c r="M69" s="90" t="str">
        <f t="shared" si="6"/>
        <v>SP2 Szydłowiec</v>
      </c>
      <c r="N69" s="37">
        <v>68</v>
      </c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</row>
    <row r="70" spans="3:34" ht="17.25" thickTop="1" thickBot="1">
      <c r="C70">
        <f>wyniki!N87</f>
        <v>185</v>
      </c>
      <c r="D70">
        <v>6.8999999999999997E-4</v>
      </c>
      <c r="E70">
        <f t="shared" si="4"/>
        <v>185.00068999999999</v>
      </c>
      <c r="F70" t="str">
        <f>wyniki!$A$84</f>
        <v>SP2 Mława</v>
      </c>
      <c r="G70" t="str">
        <f>wyniki!B87</f>
        <v>Jędrzejewski Kamil</v>
      </c>
      <c r="J70" s="79" t="str">
        <f t="shared" si="5"/>
        <v>Olichwiruk Piotr</v>
      </c>
      <c r="K70" s="69">
        <f>LARGE($E$2:$E$241,69)</f>
        <v>142.00076999999999</v>
      </c>
      <c r="L70" s="59">
        <f t="shared" si="7"/>
        <v>77</v>
      </c>
      <c r="M70" s="90" t="str">
        <f t="shared" si="6"/>
        <v>SP18 Płock</v>
      </c>
      <c r="N70" s="37">
        <v>69</v>
      </c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</row>
    <row r="71" spans="3:34" ht="17.25" thickTop="1" thickBot="1">
      <c r="C71">
        <f>wyniki!N88</f>
        <v>160</v>
      </c>
      <c r="D71">
        <v>6.9999999999999999E-4</v>
      </c>
      <c r="E71">
        <f t="shared" si="4"/>
        <v>160.00069999999999</v>
      </c>
      <c r="F71" t="str">
        <f>wyniki!$A$84</f>
        <v>SP2 Mława</v>
      </c>
      <c r="G71" t="str">
        <f>wyniki!B88</f>
        <v>Starzak Brajan</v>
      </c>
      <c r="J71" s="79" t="str">
        <f t="shared" si="5"/>
        <v>Czaplicki Karol</v>
      </c>
      <c r="K71" s="69">
        <f>LARGE($E$2:$E$241,70)</f>
        <v>140.00071</v>
      </c>
      <c r="L71" s="59">
        <f t="shared" si="7"/>
        <v>71</v>
      </c>
      <c r="M71" s="90" t="str">
        <f t="shared" si="6"/>
        <v>SP2 Mława</v>
      </c>
      <c r="N71" s="37">
        <v>70</v>
      </c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</row>
    <row r="72" spans="3:34" ht="17.25" thickTop="1" thickBot="1">
      <c r="C72">
        <f>wyniki!N89</f>
        <v>140</v>
      </c>
      <c r="D72">
        <v>7.1000000000000002E-4</v>
      </c>
      <c r="E72">
        <f t="shared" si="4"/>
        <v>140.00071</v>
      </c>
      <c r="F72" t="str">
        <f>wyniki!$A$84</f>
        <v>SP2 Mława</v>
      </c>
      <c r="G72" t="str">
        <f>wyniki!B89</f>
        <v>Czaplicki Karol</v>
      </c>
      <c r="J72" s="79" t="str">
        <f t="shared" si="5"/>
        <v>Markwat Natan</v>
      </c>
      <c r="K72" s="69">
        <f>LARGE($E$2:$E$241,71)</f>
        <v>139.00009</v>
      </c>
      <c r="L72" s="59">
        <f t="shared" si="7"/>
        <v>9</v>
      </c>
      <c r="M72" s="90" t="str">
        <f t="shared" si="6"/>
        <v>PSP24 Radom</v>
      </c>
      <c r="N72" s="37">
        <v>71</v>
      </c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</row>
    <row r="73" spans="3:34" ht="17.25" thickTop="1" thickBot="1">
      <c r="C73">
        <f>wyniki!N90</f>
        <v>0</v>
      </c>
      <c r="D73">
        <v>7.2000000000000005E-4</v>
      </c>
      <c r="E73">
        <f t="shared" si="4"/>
        <v>7.2000000000000005E-4</v>
      </c>
      <c r="F73" t="str">
        <f>wyniki!$A$84</f>
        <v>SP2 Mława</v>
      </c>
      <c r="G73">
        <f>wyniki!B90</f>
        <v>0</v>
      </c>
      <c r="J73" s="79" t="str">
        <f t="shared" si="5"/>
        <v>Kołacz Nikodem</v>
      </c>
      <c r="K73" s="69">
        <f>LARGE($E$2:$E$241,72)</f>
        <v>137.00006999999999</v>
      </c>
      <c r="L73" s="59">
        <f t="shared" si="7"/>
        <v>7</v>
      </c>
      <c r="M73" s="90" t="str">
        <f t="shared" si="6"/>
        <v>PSP24 Radom</v>
      </c>
      <c r="N73" s="37">
        <v>72</v>
      </c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spans="3:34" ht="17.25" thickTop="1" thickBot="1">
      <c r="C74">
        <f>wyniki!N92</f>
        <v>176</v>
      </c>
      <c r="D74">
        <v>7.2999999999999996E-4</v>
      </c>
      <c r="E74">
        <f t="shared" si="4"/>
        <v>176.00073</v>
      </c>
      <c r="F74" t="str">
        <f>wyniki!$A$91</f>
        <v>SP18 Płock</v>
      </c>
      <c r="G74" t="str">
        <f>wyniki!B92</f>
        <v>Kołodziej Adam</v>
      </c>
      <c r="J74" s="79" t="str">
        <f t="shared" si="5"/>
        <v>Kowalski Tymoteusz</v>
      </c>
      <c r="K74" s="69">
        <f>LARGE($E$2:$E$241,73)</f>
        <v>135.00045</v>
      </c>
      <c r="L74" s="59">
        <f t="shared" si="7"/>
        <v>45</v>
      </c>
      <c r="M74" s="90" t="str">
        <f t="shared" si="6"/>
        <v>SP Zielonki Parcela</v>
      </c>
      <c r="N74" s="37">
        <v>73</v>
      </c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3:34" ht="17.25" thickTop="1" thickBot="1">
      <c r="C75">
        <f>wyniki!N93</f>
        <v>208</v>
      </c>
      <c r="D75">
        <v>7.3999999999999999E-4</v>
      </c>
      <c r="E75">
        <f t="shared" si="4"/>
        <v>208.00074000000001</v>
      </c>
      <c r="F75" t="str">
        <f>wyniki!$A$91</f>
        <v>SP18 Płock</v>
      </c>
      <c r="G75" t="str">
        <f>wyniki!B93</f>
        <v>Leszczyński Kacper</v>
      </c>
      <c r="J75" s="79" t="str">
        <f t="shared" si="5"/>
        <v>Kaczerski Kuba</v>
      </c>
      <c r="K75" s="69">
        <f>LARGE($E$2:$E$241,74)</f>
        <v>125.00032</v>
      </c>
      <c r="L75" s="59">
        <f t="shared" si="7"/>
        <v>32</v>
      </c>
      <c r="M75" s="90" t="str">
        <f t="shared" si="6"/>
        <v>SP1 Ostrów Maz</v>
      </c>
      <c r="N75" s="37">
        <v>74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3:34" ht="17.25" thickTop="1" thickBot="1">
      <c r="C76">
        <f>wyniki!N94</f>
        <v>174</v>
      </c>
      <c r="D76">
        <v>7.5000000000000002E-4</v>
      </c>
      <c r="E76">
        <f t="shared" si="4"/>
        <v>174.00075000000001</v>
      </c>
      <c r="F76" t="str">
        <f>wyniki!$A$91</f>
        <v>SP18 Płock</v>
      </c>
      <c r="G76" t="str">
        <f>wyniki!B94</f>
        <v>Lewandowski Bartosz</v>
      </c>
      <c r="J76" s="79" t="str">
        <f t="shared" si="5"/>
        <v>Malec Alan</v>
      </c>
      <c r="K76" s="69">
        <f>LARGE($E$2:$E$241,75)</f>
        <v>121.00033000000001</v>
      </c>
      <c r="L76" s="59">
        <f t="shared" si="7"/>
        <v>33</v>
      </c>
      <c r="M76" s="90" t="str">
        <f t="shared" si="6"/>
        <v>SP1 Ostrów Maz</v>
      </c>
      <c r="N76" s="37">
        <v>75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3:34" ht="17.25" thickTop="1" thickBot="1">
      <c r="C77">
        <f>wyniki!N95</f>
        <v>199</v>
      </c>
      <c r="D77">
        <v>7.6000000000000004E-4</v>
      </c>
      <c r="E77">
        <f t="shared" si="4"/>
        <v>199.00076000000001</v>
      </c>
      <c r="F77" t="str">
        <f>wyniki!$A$91</f>
        <v>SP18 Płock</v>
      </c>
      <c r="G77" t="str">
        <f>wyniki!B95</f>
        <v>Michalski Piotr</v>
      </c>
      <c r="J77" s="79" t="str">
        <f t="shared" si="5"/>
        <v>Płachecki Sebastian</v>
      </c>
      <c r="K77" s="69">
        <f>LARGE($E$2:$E$241,76)</f>
        <v>90.000780000000006</v>
      </c>
      <c r="L77" s="59">
        <f t="shared" si="7"/>
        <v>78</v>
      </c>
      <c r="M77" s="90" t="str">
        <f t="shared" si="6"/>
        <v>SP18 Płock</v>
      </c>
      <c r="N77" s="37">
        <v>76</v>
      </c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3:34" ht="17.25" thickTop="1" thickBot="1">
      <c r="C78">
        <f>wyniki!N96</f>
        <v>142</v>
      </c>
      <c r="D78">
        <v>7.6999999999999996E-4</v>
      </c>
      <c r="E78">
        <f t="shared" si="4"/>
        <v>142.00076999999999</v>
      </c>
      <c r="F78" t="str">
        <f>wyniki!$A$91</f>
        <v>SP18 Płock</v>
      </c>
      <c r="G78" t="str">
        <f>wyniki!B96</f>
        <v>Olichwiruk Piotr</v>
      </c>
      <c r="J78" s="79">
        <f t="shared" si="5"/>
        <v>0</v>
      </c>
      <c r="K78" s="69">
        <f>LARGE($E$2:$E$241,77)</f>
        <v>2.3999999999999998E-3</v>
      </c>
      <c r="L78" s="59">
        <f t="shared" si="7"/>
        <v>240</v>
      </c>
      <c r="M78" s="90">
        <f t="shared" si="6"/>
        <v>0</v>
      </c>
      <c r="N78" s="37">
        <v>77</v>
      </c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3:34" ht="17.25" thickTop="1" thickBot="1">
      <c r="C79">
        <f>wyniki!N97</f>
        <v>90</v>
      </c>
      <c r="D79">
        <v>7.7999999999999999E-4</v>
      </c>
      <c r="E79">
        <f t="shared" si="4"/>
        <v>90.000780000000006</v>
      </c>
      <c r="F79" t="str">
        <f>wyniki!$A$91</f>
        <v>SP18 Płock</v>
      </c>
      <c r="G79" t="str">
        <f>wyniki!B97</f>
        <v>Płachecki Sebastian</v>
      </c>
      <c r="J79" s="79">
        <f t="shared" si="5"/>
        <v>0</v>
      </c>
      <c r="K79" s="69">
        <f>LARGE($E$2:$E$241,78)</f>
        <v>2.3900000000000002E-3</v>
      </c>
      <c r="L79" s="59">
        <f t="shared" si="7"/>
        <v>239</v>
      </c>
      <c r="M79" s="90">
        <f t="shared" si="6"/>
        <v>0</v>
      </c>
      <c r="N79" s="37">
        <v>78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3:34" ht="17.25" thickTop="1" thickBot="1">
      <c r="C80">
        <f>wyniki!N99</f>
        <v>0</v>
      </c>
      <c r="D80">
        <v>7.9000000000000001E-4</v>
      </c>
      <c r="E80">
        <f t="shared" si="4"/>
        <v>7.9000000000000001E-4</v>
      </c>
      <c r="F80">
        <f>wyniki!$A$98</f>
        <v>0</v>
      </c>
      <c r="G80">
        <f>wyniki!B99</f>
        <v>0</v>
      </c>
      <c r="J80" s="79">
        <f t="shared" si="5"/>
        <v>0</v>
      </c>
      <c r="K80" s="69">
        <f>LARGE($E$2:$E$241,79)</f>
        <v>2.3800000000000002E-3</v>
      </c>
      <c r="L80" s="59">
        <f t="shared" si="7"/>
        <v>238</v>
      </c>
      <c r="M80" s="90">
        <f t="shared" si="6"/>
        <v>0</v>
      </c>
      <c r="N80" s="37">
        <v>79</v>
      </c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3:34" ht="17.25" thickTop="1" thickBot="1">
      <c r="C81">
        <f>wyniki!N100</f>
        <v>0</v>
      </c>
      <c r="D81">
        <v>8.0000000000000004E-4</v>
      </c>
      <c r="E81">
        <f t="shared" si="4"/>
        <v>8.0000000000000004E-4</v>
      </c>
      <c r="F81">
        <f>wyniki!$A$98</f>
        <v>0</v>
      </c>
      <c r="G81">
        <f>wyniki!B100</f>
        <v>0</v>
      </c>
      <c r="J81" s="79">
        <f t="shared" si="5"/>
        <v>0</v>
      </c>
      <c r="K81" s="69">
        <f>LARGE($E$2:$E$241,80)</f>
        <v>2.3700000000000001E-3</v>
      </c>
      <c r="L81" s="59">
        <f t="shared" si="7"/>
        <v>237</v>
      </c>
      <c r="M81" s="90">
        <f t="shared" si="6"/>
        <v>0</v>
      </c>
      <c r="N81" s="37">
        <v>80</v>
      </c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3:34" ht="17.25" thickTop="1" thickBot="1">
      <c r="C82">
        <f>wyniki!N101</f>
        <v>0</v>
      </c>
      <c r="D82">
        <v>8.0999999999999996E-4</v>
      </c>
      <c r="E82">
        <f t="shared" si="4"/>
        <v>8.0999999999999996E-4</v>
      </c>
      <c r="F82">
        <f>wyniki!$A$98</f>
        <v>0</v>
      </c>
      <c r="G82">
        <f>wyniki!B101</f>
        <v>0</v>
      </c>
      <c r="J82" s="79">
        <f t="shared" si="5"/>
        <v>0</v>
      </c>
      <c r="K82" s="69">
        <f>LARGE($E$2:$E$241,81)</f>
        <v>2.3600000000000001E-3</v>
      </c>
      <c r="L82" s="59">
        <f t="shared" si="7"/>
        <v>236</v>
      </c>
      <c r="M82" s="90">
        <f t="shared" si="6"/>
        <v>0</v>
      </c>
      <c r="N82" s="37">
        <v>81</v>
      </c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3:34" ht="17.25" thickTop="1" thickBot="1">
      <c r="C83">
        <f>wyniki!N102</f>
        <v>0</v>
      </c>
      <c r="D83">
        <v>8.1999999999999998E-4</v>
      </c>
      <c r="E83">
        <f t="shared" si="4"/>
        <v>8.1999999999999998E-4</v>
      </c>
      <c r="F83">
        <f>wyniki!$A$98</f>
        <v>0</v>
      </c>
      <c r="G83">
        <f>wyniki!B102</f>
        <v>0</v>
      </c>
      <c r="J83" s="79">
        <f t="shared" si="5"/>
        <v>0</v>
      </c>
      <c r="K83" s="69">
        <f>LARGE($E$2:$E$241,82)</f>
        <v>2.3500000000000001E-3</v>
      </c>
      <c r="L83" s="59">
        <f t="shared" si="7"/>
        <v>235</v>
      </c>
      <c r="M83" s="90">
        <f t="shared" si="6"/>
        <v>0</v>
      </c>
      <c r="N83" s="37">
        <v>82</v>
      </c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3:34" ht="17.25" thickTop="1" thickBot="1">
      <c r="C84">
        <f>wyniki!N103</f>
        <v>0</v>
      </c>
      <c r="D84">
        <v>8.3000000000000001E-4</v>
      </c>
      <c r="E84">
        <f t="shared" si="4"/>
        <v>8.3000000000000001E-4</v>
      </c>
      <c r="F84">
        <f>wyniki!$A$98</f>
        <v>0</v>
      </c>
      <c r="G84">
        <f>wyniki!B103</f>
        <v>0</v>
      </c>
      <c r="J84" s="79">
        <f t="shared" si="5"/>
        <v>0</v>
      </c>
      <c r="K84" s="69">
        <f>LARGE($E$2:$E$241,83)</f>
        <v>2.3400000000000001E-3</v>
      </c>
      <c r="L84" s="59">
        <f t="shared" si="7"/>
        <v>234</v>
      </c>
      <c r="M84" s="90">
        <f t="shared" si="6"/>
        <v>0</v>
      </c>
      <c r="N84" s="37">
        <v>83</v>
      </c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3:34" ht="17.25" thickTop="1" thickBot="1">
      <c r="C85">
        <f>wyniki!N104</f>
        <v>0</v>
      </c>
      <c r="D85">
        <v>8.4000000000000003E-4</v>
      </c>
      <c r="E85">
        <f t="shared" si="4"/>
        <v>8.4000000000000003E-4</v>
      </c>
      <c r="F85">
        <f>wyniki!$A$98</f>
        <v>0</v>
      </c>
      <c r="G85">
        <f>wyniki!B104</f>
        <v>0</v>
      </c>
      <c r="J85" s="79">
        <f t="shared" si="5"/>
        <v>0</v>
      </c>
      <c r="K85" s="69">
        <f>LARGE($E$2:$E$241,84)</f>
        <v>2.33E-3</v>
      </c>
      <c r="L85" s="59">
        <f t="shared" si="7"/>
        <v>233</v>
      </c>
      <c r="M85" s="90">
        <f t="shared" si="6"/>
        <v>0</v>
      </c>
      <c r="N85" s="37">
        <v>84</v>
      </c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3:34" ht="17.25" thickTop="1" thickBot="1">
      <c r="C86">
        <f>wyniki!N106</f>
        <v>0</v>
      </c>
      <c r="D86">
        <v>8.4999999999999995E-4</v>
      </c>
      <c r="E86">
        <f t="shared" si="4"/>
        <v>8.4999999999999995E-4</v>
      </c>
      <c r="F86">
        <f>wyniki!$A$105</f>
        <v>0</v>
      </c>
      <c r="G86">
        <f>wyniki!B106</f>
        <v>0</v>
      </c>
      <c r="J86" s="79">
        <f t="shared" si="5"/>
        <v>0</v>
      </c>
      <c r="K86" s="69">
        <f>LARGE($E$2:$E$241,85)</f>
        <v>2.32E-3</v>
      </c>
      <c r="L86" s="59">
        <f t="shared" si="7"/>
        <v>232</v>
      </c>
      <c r="M86" s="90">
        <f t="shared" si="6"/>
        <v>0</v>
      </c>
      <c r="N86" s="37">
        <v>85</v>
      </c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3:34" ht="17.25" thickTop="1" thickBot="1">
      <c r="C87">
        <f>wyniki!N107</f>
        <v>0</v>
      </c>
      <c r="D87">
        <v>8.5999999999999998E-4</v>
      </c>
      <c r="E87">
        <f t="shared" si="4"/>
        <v>8.5999999999999998E-4</v>
      </c>
      <c r="F87">
        <f>wyniki!$A$105</f>
        <v>0</v>
      </c>
      <c r="G87">
        <f>wyniki!B107</f>
        <v>0</v>
      </c>
      <c r="J87" s="79">
        <f t="shared" si="5"/>
        <v>0</v>
      </c>
      <c r="K87" s="69">
        <f>LARGE($E$2:$E$241,86)</f>
        <v>2.31E-3</v>
      </c>
      <c r="L87" s="59">
        <f t="shared" si="7"/>
        <v>231</v>
      </c>
      <c r="M87" s="90">
        <f t="shared" si="6"/>
        <v>0</v>
      </c>
      <c r="N87" s="37">
        <v>86</v>
      </c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3:34" ht="17.25" thickTop="1" thickBot="1">
      <c r="C88">
        <f>wyniki!N108</f>
        <v>0</v>
      </c>
      <c r="D88">
        <v>8.7000000000000001E-4</v>
      </c>
      <c r="E88">
        <f t="shared" si="4"/>
        <v>8.7000000000000001E-4</v>
      </c>
      <c r="F88">
        <f>wyniki!$A$105</f>
        <v>0</v>
      </c>
      <c r="G88">
        <f>wyniki!B108</f>
        <v>0</v>
      </c>
      <c r="J88" s="79">
        <f t="shared" si="5"/>
        <v>0</v>
      </c>
      <c r="K88" s="69">
        <f>LARGE($E$2:$E$241,87)</f>
        <v>2.3E-3</v>
      </c>
      <c r="L88" s="59">
        <f t="shared" si="7"/>
        <v>230</v>
      </c>
      <c r="M88" s="90">
        <f t="shared" si="6"/>
        <v>0</v>
      </c>
      <c r="N88" s="37">
        <v>87</v>
      </c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3:34" ht="17.25" thickTop="1" thickBot="1">
      <c r="C89">
        <f>wyniki!N109</f>
        <v>0</v>
      </c>
      <c r="D89">
        <v>8.8000000000000003E-4</v>
      </c>
      <c r="E89">
        <f t="shared" si="4"/>
        <v>8.8000000000000003E-4</v>
      </c>
      <c r="F89">
        <f>wyniki!$A$105</f>
        <v>0</v>
      </c>
      <c r="G89">
        <f>wyniki!B109</f>
        <v>0</v>
      </c>
      <c r="J89" s="79">
        <f t="shared" si="5"/>
        <v>0</v>
      </c>
      <c r="K89" s="69">
        <f>LARGE($E$2:$E$241,88)</f>
        <v>2.2899999999999999E-3</v>
      </c>
      <c r="L89" s="59">
        <f t="shared" si="7"/>
        <v>229</v>
      </c>
      <c r="M89" s="90">
        <f t="shared" si="6"/>
        <v>0</v>
      </c>
      <c r="N89" s="37">
        <v>88</v>
      </c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3:34" ht="17.25" thickTop="1" thickBot="1">
      <c r="C90">
        <f>wyniki!N110</f>
        <v>0</v>
      </c>
      <c r="D90">
        <v>8.8999999999999995E-4</v>
      </c>
      <c r="E90">
        <f t="shared" si="4"/>
        <v>8.8999999999999995E-4</v>
      </c>
      <c r="F90">
        <f>wyniki!$A$105</f>
        <v>0</v>
      </c>
      <c r="G90">
        <f>wyniki!B110</f>
        <v>0</v>
      </c>
      <c r="J90" s="79">
        <f t="shared" si="5"/>
        <v>0</v>
      </c>
      <c r="K90" s="69">
        <f>LARGE($E$2:$E$241,89)</f>
        <v>2.2799999999999999E-3</v>
      </c>
      <c r="L90" s="59">
        <f t="shared" si="7"/>
        <v>228</v>
      </c>
      <c r="M90" s="90">
        <f t="shared" si="6"/>
        <v>0</v>
      </c>
      <c r="N90" s="37">
        <v>89</v>
      </c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3:34" ht="17.25" thickTop="1" thickBot="1">
      <c r="C91">
        <f>wyniki!N111</f>
        <v>0</v>
      </c>
      <c r="D91">
        <v>8.9999999999999998E-4</v>
      </c>
      <c r="E91">
        <f t="shared" si="4"/>
        <v>8.9999999999999998E-4</v>
      </c>
      <c r="F91">
        <f>wyniki!$A$105</f>
        <v>0</v>
      </c>
      <c r="G91">
        <f>wyniki!B111</f>
        <v>0</v>
      </c>
      <c r="J91" s="79">
        <f t="shared" si="5"/>
        <v>0</v>
      </c>
      <c r="K91" s="69">
        <f>LARGE($E$2:$E$241,90)</f>
        <v>2.2699999999999999E-3</v>
      </c>
      <c r="L91" s="59">
        <f t="shared" si="7"/>
        <v>227</v>
      </c>
      <c r="M91" s="90">
        <f t="shared" si="6"/>
        <v>0</v>
      </c>
      <c r="N91" s="37">
        <v>90</v>
      </c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3:34" ht="17.25" thickTop="1" thickBot="1">
      <c r="C92">
        <f>wyniki!N113</f>
        <v>0</v>
      </c>
      <c r="D92">
        <v>9.1E-4</v>
      </c>
      <c r="E92">
        <f t="shared" si="4"/>
        <v>9.1E-4</v>
      </c>
      <c r="F92">
        <f>wyniki!$A$112</f>
        <v>0</v>
      </c>
      <c r="G92">
        <f>wyniki!B113</f>
        <v>0</v>
      </c>
      <c r="J92" s="79">
        <f t="shared" si="5"/>
        <v>0</v>
      </c>
      <c r="K92" s="69">
        <f>LARGE($E$2:$E$241,91)</f>
        <v>2.2599999999999999E-3</v>
      </c>
      <c r="L92" s="59">
        <f t="shared" si="7"/>
        <v>226</v>
      </c>
      <c r="M92" s="90">
        <f t="shared" si="6"/>
        <v>0</v>
      </c>
      <c r="N92" s="37">
        <v>91</v>
      </c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3:34" ht="17.25" thickTop="1" thickBot="1">
      <c r="C93">
        <f>wyniki!N114</f>
        <v>0</v>
      </c>
      <c r="D93">
        <v>9.2000000000000003E-4</v>
      </c>
      <c r="E93">
        <f t="shared" si="4"/>
        <v>9.2000000000000003E-4</v>
      </c>
      <c r="F93">
        <f>wyniki!$A$112</f>
        <v>0</v>
      </c>
      <c r="G93">
        <f>wyniki!B114</f>
        <v>0</v>
      </c>
      <c r="J93" s="79">
        <f t="shared" si="5"/>
        <v>0</v>
      </c>
      <c r="K93" s="69">
        <f>LARGE($E$2:$E$241,92)</f>
        <v>2.2499999999999998E-3</v>
      </c>
      <c r="L93" s="59">
        <f t="shared" si="7"/>
        <v>225</v>
      </c>
      <c r="M93" s="90">
        <f t="shared" si="6"/>
        <v>0</v>
      </c>
      <c r="N93" s="37">
        <v>92</v>
      </c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3:34" ht="17.25" thickTop="1" thickBot="1">
      <c r="C94">
        <f>wyniki!N115</f>
        <v>0</v>
      </c>
      <c r="D94">
        <v>9.3000000000000005E-4</v>
      </c>
      <c r="E94">
        <f t="shared" si="4"/>
        <v>9.3000000000000005E-4</v>
      </c>
      <c r="F94">
        <f>wyniki!$A$112</f>
        <v>0</v>
      </c>
      <c r="G94">
        <f>wyniki!B115</f>
        <v>0</v>
      </c>
      <c r="J94" s="79">
        <f t="shared" si="5"/>
        <v>0</v>
      </c>
      <c r="K94" s="69">
        <f>LARGE($E$2:$E$241,93)</f>
        <v>2.2399999999999998E-3</v>
      </c>
      <c r="L94" s="59">
        <f t="shared" si="7"/>
        <v>224</v>
      </c>
      <c r="M94" s="90">
        <f t="shared" si="6"/>
        <v>0</v>
      </c>
      <c r="N94" s="37">
        <v>93</v>
      </c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3:34" ht="17.25" thickTop="1" thickBot="1">
      <c r="C95">
        <f>wyniki!N116</f>
        <v>0</v>
      </c>
      <c r="D95">
        <v>9.3999999999999997E-4</v>
      </c>
      <c r="E95">
        <f t="shared" si="4"/>
        <v>9.3999999999999997E-4</v>
      </c>
      <c r="F95">
        <f>wyniki!$A$112</f>
        <v>0</v>
      </c>
      <c r="G95">
        <f>wyniki!B116</f>
        <v>0</v>
      </c>
      <c r="J95" s="79">
        <f t="shared" si="5"/>
        <v>0</v>
      </c>
      <c r="K95" s="69">
        <f>LARGE($E$2:$E$241,94)</f>
        <v>2.2300000000000002E-3</v>
      </c>
      <c r="L95" s="59">
        <f t="shared" si="7"/>
        <v>223</v>
      </c>
      <c r="M95" s="90">
        <f t="shared" si="6"/>
        <v>0</v>
      </c>
      <c r="N95" s="37">
        <v>94</v>
      </c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3:34" ht="17.25" thickTop="1" thickBot="1">
      <c r="C96">
        <f>wyniki!N117</f>
        <v>0</v>
      </c>
      <c r="D96">
        <v>9.5E-4</v>
      </c>
      <c r="E96">
        <f t="shared" si="4"/>
        <v>9.5E-4</v>
      </c>
      <c r="F96">
        <f>wyniki!$A$112</f>
        <v>0</v>
      </c>
      <c r="G96">
        <f>wyniki!B117</f>
        <v>0</v>
      </c>
      <c r="J96" s="79">
        <f t="shared" si="5"/>
        <v>0</v>
      </c>
      <c r="K96" s="69">
        <f>LARGE($E$2:$E$241,95)</f>
        <v>2.2200000000000002E-3</v>
      </c>
      <c r="L96" s="59">
        <f t="shared" si="7"/>
        <v>222</v>
      </c>
      <c r="M96" s="90">
        <f t="shared" si="6"/>
        <v>0</v>
      </c>
      <c r="N96" s="37">
        <v>95</v>
      </c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3:34" ht="17.25" thickTop="1" thickBot="1">
      <c r="C97">
        <f>wyniki!N118</f>
        <v>0</v>
      </c>
      <c r="D97">
        <v>9.6000000000000002E-4</v>
      </c>
      <c r="E97">
        <f t="shared" si="4"/>
        <v>9.6000000000000002E-4</v>
      </c>
      <c r="F97">
        <f>wyniki!$A$112</f>
        <v>0</v>
      </c>
      <c r="G97">
        <f>wyniki!B118</f>
        <v>0</v>
      </c>
      <c r="J97" s="79">
        <f t="shared" si="5"/>
        <v>0</v>
      </c>
      <c r="K97" s="69">
        <f>LARGE($E$2:$E$241,96)</f>
        <v>2.2100000000000002E-3</v>
      </c>
      <c r="L97" s="59">
        <f t="shared" si="7"/>
        <v>221</v>
      </c>
      <c r="M97" s="90">
        <f t="shared" si="6"/>
        <v>0</v>
      </c>
      <c r="N97" s="37">
        <v>96</v>
      </c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  <row r="98" spans="3:34" ht="17.25" thickTop="1" thickBot="1">
      <c r="C98">
        <f>wyniki!N120</f>
        <v>0</v>
      </c>
      <c r="D98">
        <v>9.7000000000000005E-4</v>
      </c>
      <c r="E98">
        <f t="shared" si="4"/>
        <v>9.7000000000000005E-4</v>
      </c>
      <c r="F98">
        <f>wyniki!$A$119</f>
        <v>0</v>
      </c>
      <c r="G98">
        <f>wyniki!B120</f>
        <v>0</v>
      </c>
      <c r="J98" s="79">
        <f t="shared" si="5"/>
        <v>0</v>
      </c>
      <c r="K98" s="69">
        <f>LARGE($E$2:$E$241,97)</f>
        <v>2.2000000000000001E-3</v>
      </c>
      <c r="L98" s="59">
        <f t="shared" si="7"/>
        <v>220</v>
      </c>
      <c r="M98" s="90">
        <f t="shared" si="6"/>
        <v>0</v>
      </c>
      <c r="N98" s="37">
        <v>97</v>
      </c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</row>
    <row r="99" spans="3:34" ht="17.25" thickTop="1" thickBot="1">
      <c r="C99">
        <f>wyniki!N121</f>
        <v>0</v>
      </c>
      <c r="D99">
        <v>9.7999999999999997E-4</v>
      </c>
      <c r="E99">
        <f t="shared" si="4"/>
        <v>9.7999999999999997E-4</v>
      </c>
      <c r="F99">
        <f>wyniki!$A$119</f>
        <v>0</v>
      </c>
      <c r="G99">
        <f>wyniki!B121</f>
        <v>0</v>
      </c>
      <c r="J99" s="79">
        <f t="shared" si="5"/>
        <v>0</v>
      </c>
      <c r="K99" s="69">
        <f>LARGE($E$2:$E$241,98)</f>
        <v>2.1900000000000001E-3</v>
      </c>
      <c r="L99" s="59">
        <f t="shared" si="7"/>
        <v>219</v>
      </c>
      <c r="M99" s="90">
        <f t="shared" si="6"/>
        <v>0</v>
      </c>
      <c r="N99" s="37">
        <v>98</v>
      </c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</row>
    <row r="100" spans="3:34" ht="17.25" thickTop="1" thickBot="1">
      <c r="C100">
        <f>wyniki!N122</f>
        <v>0</v>
      </c>
      <c r="D100">
        <v>9.8999999999999999E-4</v>
      </c>
      <c r="E100">
        <f t="shared" si="4"/>
        <v>9.8999999999999999E-4</v>
      </c>
      <c r="F100">
        <f>wyniki!$A$119</f>
        <v>0</v>
      </c>
      <c r="G100">
        <f>wyniki!B122</f>
        <v>0</v>
      </c>
      <c r="J100" s="79">
        <f t="shared" si="5"/>
        <v>0</v>
      </c>
      <c r="K100" s="69">
        <f>LARGE($E$2:$E$241,99)</f>
        <v>2.1800000000000001E-3</v>
      </c>
      <c r="L100" s="59">
        <f t="shared" si="7"/>
        <v>218</v>
      </c>
      <c r="M100" s="90">
        <f t="shared" si="6"/>
        <v>0</v>
      </c>
      <c r="N100" s="37">
        <v>99</v>
      </c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</row>
    <row r="101" spans="3:34" ht="17.25" thickTop="1" thickBot="1">
      <c r="C101">
        <f>wyniki!N123</f>
        <v>0</v>
      </c>
      <c r="D101">
        <v>1E-3</v>
      </c>
      <c r="E101">
        <f t="shared" si="4"/>
        <v>1E-3</v>
      </c>
      <c r="F101">
        <f>wyniki!$A$119</f>
        <v>0</v>
      </c>
      <c r="G101">
        <f>wyniki!B123</f>
        <v>0</v>
      </c>
      <c r="J101" s="79">
        <f t="shared" si="5"/>
        <v>0</v>
      </c>
      <c r="K101" s="69">
        <f>LARGE($E$2:$E$241,100)</f>
        <v>2.1700000000000001E-3</v>
      </c>
      <c r="L101" s="59">
        <f t="shared" si="7"/>
        <v>217</v>
      </c>
      <c r="M101" s="90">
        <f t="shared" si="6"/>
        <v>0</v>
      </c>
      <c r="N101" s="37">
        <v>100</v>
      </c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</row>
    <row r="102" spans="3:34" ht="17.25" thickTop="1" thickBot="1">
      <c r="C102">
        <f>wyniki!N124</f>
        <v>0</v>
      </c>
      <c r="D102">
        <v>1.01E-3</v>
      </c>
      <c r="E102">
        <f t="shared" si="4"/>
        <v>1.01E-3</v>
      </c>
      <c r="F102">
        <f>wyniki!$A$119</f>
        <v>0</v>
      </c>
      <c r="G102">
        <f>wyniki!B124</f>
        <v>0</v>
      </c>
      <c r="J102" s="79">
        <f t="shared" si="5"/>
        <v>0</v>
      </c>
      <c r="K102" s="69">
        <f>LARGE($E$2:$E$241,101)</f>
        <v>2.16E-3</v>
      </c>
      <c r="L102" s="59">
        <f t="shared" si="7"/>
        <v>216</v>
      </c>
      <c r="M102" s="90">
        <f t="shared" si="6"/>
        <v>0</v>
      </c>
      <c r="N102" s="37">
        <v>101</v>
      </c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</row>
    <row r="103" spans="3:34" ht="17.25" thickTop="1" thickBot="1">
      <c r="C103">
        <f>wyniki!N125</f>
        <v>0</v>
      </c>
      <c r="D103">
        <v>1.0200000000000001E-3</v>
      </c>
      <c r="E103">
        <f t="shared" si="4"/>
        <v>1.0200000000000001E-3</v>
      </c>
      <c r="F103">
        <f>wyniki!$A$119</f>
        <v>0</v>
      </c>
      <c r="G103">
        <f>wyniki!B125</f>
        <v>0</v>
      </c>
      <c r="J103" s="79">
        <f t="shared" si="5"/>
        <v>0</v>
      </c>
      <c r="K103" s="69">
        <f>LARGE($E$2:$E$241,102)</f>
        <v>2.15E-3</v>
      </c>
      <c r="L103" s="59">
        <f t="shared" si="7"/>
        <v>215</v>
      </c>
      <c r="M103" s="90">
        <f t="shared" si="6"/>
        <v>0</v>
      </c>
      <c r="N103" s="37">
        <v>102</v>
      </c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</row>
    <row r="104" spans="3:34" ht="17.25" thickTop="1" thickBot="1">
      <c r="C104">
        <f>wyniki!N127</f>
        <v>0</v>
      </c>
      <c r="D104">
        <v>1.0300000000000001E-3</v>
      </c>
      <c r="E104">
        <f t="shared" si="4"/>
        <v>1.0300000000000001E-3</v>
      </c>
      <c r="F104">
        <f>wyniki!$A$126</f>
        <v>0</v>
      </c>
      <c r="G104">
        <f>wyniki!B127</f>
        <v>0</v>
      </c>
      <c r="J104" s="79">
        <f t="shared" si="5"/>
        <v>0</v>
      </c>
      <c r="K104" s="69">
        <f>LARGE($E$2:$E$241,103)</f>
        <v>2.14E-3</v>
      </c>
      <c r="L104" s="59">
        <f t="shared" si="7"/>
        <v>214</v>
      </c>
      <c r="M104" s="90">
        <f t="shared" si="6"/>
        <v>0</v>
      </c>
      <c r="N104" s="37">
        <v>103</v>
      </c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</row>
    <row r="105" spans="3:34" ht="17.25" thickTop="1" thickBot="1">
      <c r="C105">
        <f>wyniki!N128</f>
        <v>0</v>
      </c>
      <c r="D105">
        <v>1.0399999999999999E-3</v>
      </c>
      <c r="E105">
        <f t="shared" si="4"/>
        <v>1.0399999999999999E-3</v>
      </c>
      <c r="F105">
        <f>wyniki!$A$126</f>
        <v>0</v>
      </c>
      <c r="G105">
        <f>wyniki!B128</f>
        <v>0</v>
      </c>
      <c r="J105" s="79">
        <f t="shared" si="5"/>
        <v>0</v>
      </c>
      <c r="K105" s="69">
        <f>LARGE($E$2:$E$241,104)</f>
        <v>2.1299999999999999E-3</v>
      </c>
      <c r="L105" s="59">
        <f t="shared" si="7"/>
        <v>213</v>
      </c>
      <c r="M105" s="90">
        <f t="shared" si="6"/>
        <v>0</v>
      </c>
      <c r="N105" s="37">
        <v>104</v>
      </c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</row>
    <row r="106" spans="3:34" ht="17.25" thickTop="1" thickBot="1">
      <c r="C106">
        <f>wyniki!N129</f>
        <v>0</v>
      </c>
      <c r="D106">
        <v>1.0499999999999999E-3</v>
      </c>
      <c r="E106">
        <f t="shared" si="4"/>
        <v>1.0499999999999999E-3</v>
      </c>
      <c r="F106">
        <f>wyniki!$A$126</f>
        <v>0</v>
      </c>
      <c r="G106">
        <f>wyniki!B129</f>
        <v>0</v>
      </c>
      <c r="J106" s="79">
        <f t="shared" si="5"/>
        <v>0</v>
      </c>
      <c r="K106" s="69">
        <f>LARGE($E$2:$E$241,105)</f>
        <v>2.1199999999999999E-3</v>
      </c>
      <c r="L106" s="59">
        <f t="shared" si="7"/>
        <v>212</v>
      </c>
      <c r="M106" s="90">
        <f t="shared" si="6"/>
        <v>0</v>
      </c>
      <c r="N106" s="37">
        <v>105</v>
      </c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</row>
    <row r="107" spans="3:34" ht="17.25" thickTop="1" thickBot="1">
      <c r="C107">
        <f>wyniki!N130</f>
        <v>0</v>
      </c>
      <c r="D107">
        <v>1.06E-3</v>
      </c>
      <c r="E107">
        <f t="shared" si="4"/>
        <v>1.06E-3</v>
      </c>
      <c r="F107">
        <f>wyniki!$A$126</f>
        <v>0</v>
      </c>
      <c r="G107">
        <f>wyniki!B130</f>
        <v>0</v>
      </c>
      <c r="J107" s="79">
        <f t="shared" si="5"/>
        <v>0</v>
      </c>
      <c r="K107" s="69">
        <f>LARGE($E$2:$E$241,106)</f>
        <v>2.1099999999999999E-3</v>
      </c>
      <c r="L107" s="59">
        <f t="shared" si="7"/>
        <v>211</v>
      </c>
      <c r="M107" s="90">
        <f t="shared" si="6"/>
        <v>0</v>
      </c>
      <c r="N107" s="37">
        <v>106</v>
      </c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</row>
    <row r="108" spans="3:34" ht="17.25" thickTop="1" thickBot="1">
      <c r="C108">
        <f>wyniki!N131</f>
        <v>0</v>
      </c>
      <c r="D108">
        <v>1.07E-3</v>
      </c>
      <c r="E108">
        <f t="shared" si="4"/>
        <v>1.07E-3</v>
      </c>
      <c r="F108">
        <f>wyniki!$A$126</f>
        <v>0</v>
      </c>
      <c r="G108">
        <f>wyniki!B131</f>
        <v>0</v>
      </c>
      <c r="J108" s="79">
        <f t="shared" si="5"/>
        <v>0</v>
      </c>
      <c r="K108" s="69">
        <f>LARGE($E$2:$E$241,107)</f>
        <v>2.0999999999999999E-3</v>
      </c>
      <c r="L108" s="59">
        <f t="shared" si="7"/>
        <v>210</v>
      </c>
      <c r="M108" s="90">
        <f t="shared" si="6"/>
        <v>0</v>
      </c>
      <c r="N108" s="37">
        <v>107</v>
      </c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</row>
    <row r="109" spans="3:34" ht="17.25" thickTop="1" thickBot="1">
      <c r="C109">
        <f>wyniki!N132</f>
        <v>0</v>
      </c>
      <c r="D109">
        <v>1.08E-3</v>
      </c>
      <c r="E109">
        <f t="shared" si="4"/>
        <v>1.08E-3</v>
      </c>
      <c r="F109">
        <f>wyniki!$A$126</f>
        <v>0</v>
      </c>
      <c r="G109">
        <f>wyniki!B132</f>
        <v>0</v>
      </c>
      <c r="J109" s="79">
        <f t="shared" si="5"/>
        <v>0</v>
      </c>
      <c r="K109" s="69">
        <f>LARGE($E$2:$E$241,108)</f>
        <v>2.0899999999999998E-3</v>
      </c>
      <c r="L109" s="59">
        <f t="shared" si="7"/>
        <v>209</v>
      </c>
      <c r="M109" s="90">
        <f t="shared" si="6"/>
        <v>0</v>
      </c>
      <c r="N109" s="37">
        <v>108</v>
      </c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</row>
    <row r="110" spans="3:34" ht="17.25" thickTop="1" thickBot="1">
      <c r="C110">
        <f>wyniki!N134</f>
        <v>0</v>
      </c>
      <c r="D110">
        <v>1.09E-3</v>
      </c>
      <c r="E110">
        <f t="shared" si="4"/>
        <v>1.09E-3</v>
      </c>
      <c r="F110">
        <f>wyniki!$A$133</f>
        <v>0</v>
      </c>
      <c r="G110">
        <f>wyniki!B134</f>
        <v>0</v>
      </c>
      <c r="J110" s="79">
        <f t="shared" si="5"/>
        <v>0</v>
      </c>
      <c r="K110" s="69">
        <f>LARGE($E$2:$E$241,109)</f>
        <v>2.0799999999999998E-3</v>
      </c>
      <c r="L110" s="59">
        <f t="shared" si="7"/>
        <v>208</v>
      </c>
      <c r="M110" s="90">
        <f t="shared" si="6"/>
        <v>0</v>
      </c>
      <c r="N110" s="37">
        <v>109</v>
      </c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</row>
    <row r="111" spans="3:34" ht="17.25" thickTop="1" thickBot="1">
      <c r="C111">
        <f>wyniki!N135</f>
        <v>0</v>
      </c>
      <c r="D111">
        <v>1.1000000000000001E-3</v>
      </c>
      <c r="E111">
        <f t="shared" si="4"/>
        <v>1.1000000000000001E-3</v>
      </c>
      <c r="F111">
        <f>wyniki!$A$133</f>
        <v>0</v>
      </c>
      <c r="G111">
        <f>wyniki!B135</f>
        <v>0</v>
      </c>
      <c r="J111" s="79">
        <f t="shared" si="5"/>
        <v>0</v>
      </c>
      <c r="K111" s="69">
        <f>LARGE($E$2:$E$241,110)</f>
        <v>2.0699999999999998E-3</v>
      </c>
      <c r="L111" s="59">
        <f t="shared" si="7"/>
        <v>207</v>
      </c>
      <c r="M111" s="90">
        <f t="shared" si="6"/>
        <v>0</v>
      </c>
      <c r="N111" s="37">
        <v>110</v>
      </c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</row>
    <row r="112" spans="3:34" ht="17.25" thickTop="1" thickBot="1">
      <c r="C112">
        <f>wyniki!N136</f>
        <v>0</v>
      </c>
      <c r="D112">
        <v>1.1100000000000001E-3</v>
      </c>
      <c r="E112">
        <f t="shared" si="4"/>
        <v>1.1100000000000001E-3</v>
      </c>
      <c r="F112">
        <f>wyniki!$A$133</f>
        <v>0</v>
      </c>
      <c r="G112">
        <f>wyniki!B136</f>
        <v>0</v>
      </c>
      <c r="J112" s="79">
        <f t="shared" si="5"/>
        <v>0</v>
      </c>
      <c r="K112" s="69">
        <f>LARGE($E$2:$E$241,111)</f>
        <v>2.0600000000000002E-3</v>
      </c>
      <c r="L112" s="59">
        <f t="shared" si="7"/>
        <v>206</v>
      </c>
      <c r="M112" s="90">
        <f t="shared" si="6"/>
        <v>0</v>
      </c>
      <c r="N112" s="37">
        <v>111</v>
      </c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</row>
    <row r="113" spans="3:34" ht="17.25" thickTop="1" thickBot="1">
      <c r="C113">
        <f>wyniki!N137</f>
        <v>0</v>
      </c>
      <c r="D113">
        <v>1.1199999999999999E-3</v>
      </c>
      <c r="E113">
        <f t="shared" si="4"/>
        <v>1.1199999999999999E-3</v>
      </c>
      <c r="F113">
        <f>wyniki!$A$133</f>
        <v>0</v>
      </c>
      <c r="G113">
        <f>wyniki!B137</f>
        <v>0</v>
      </c>
      <c r="J113" s="79">
        <f t="shared" si="5"/>
        <v>0</v>
      </c>
      <c r="K113" s="69">
        <f>LARGE($E$2:$E$241,112)</f>
        <v>2.0500000000000002E-3</v>
      </c>
      <c r="L113" s="59">
        <f t="shared" si="7"/>
        <v>205</v>
      </c>
      <c r="M113" s="90">
        <f t="shared" si="6"/>
        <v>0</v>
      </c>
      <c r="N113" s="37">
        <v>112</v>
      </c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</row>
    <row r="114" spans="3:34" ht="17.25" thickTop="1" thickBot="1">
      <c r="C114">
        <f>wyniki!N138</f>
        <v>0</v>
      </c>
      <c r="D114">
        <v>1.1299999999999999E-3</v>
      </c>
      <c r="E114">
        <f t="shared" si="4"/>
        <v>1.1299999999999999E-3</v>
      </c>
      <c r="F114">
        <f>wyniki!$A$133</f>
        <v>0</v>
      </c>
      <c r="G114">
        <f>wyniki!B138</f>
        <v>0</v>
      </c>
      <c r="J114" s="79">
        <f t="shared" si="5"/>
        <v>0</v>
      </c>
      <c r="K114" s="69">
        <f>LARGE($E$2:$E$241,113)</f>
        <v>2.0400000000000001E-3</v>
      </c>
      <c r="L114" s="59">
        <f t="shared" si="7"/>
        <v>204</v>
      </c>
      <c r="M114" s="90">
        <f t="shared" si="6"/>
        <v>0</v>
      </c>
      <c r="N114" s="37">
        <v>113</v>
      </c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</row>
    <row r="115" spans="3:34" ht="17.25" thickTop="1" thickBot="1">
      <c r="C115">
        <f>wyniki!N139</f>
        <v>0</v>
      </c>
      <c r="D115">
        <v>1.14E-3</v>
      </c>
      <c r="E115">
        <f t="shared" si="4"/>
        <v>1.14E-3</v>
      </c>
      <c r="F115">
        <f>wyniki!$A$133</f>
        <v>0</v>
      </c>
      <c r="G115">
        <f>wyniki!B139</f>
        <v>0</v>
      </c>
      <c r="J115" s="79">
        <f t="shared" si="5"/>
        <v>0</v>
      </c>
      <c r="K115" s="69">
        <f>LARGE($E$2:$E$241,114)</f>
        <v>2.0300000000000001E-3</v>
      </c>
      <c r="L115" s="59">
        <f t="shared" si="7"/>
        <v>203</v>
      </c>
      <c r="M115" s="90">
        <f t="shared" si="6"/>
        <v>0</v>
      </c>
      <c r="N115" s="37">
        <v>114</v>
      </c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</row>
    <row r="116" spans="3:34" ht="17.25" thickTop="1" thickBot="1">
      <c r="C116">
        <f>wyniki!N141</f>
        <v>0</v>
      </c>
      <c r="D116">
        <v>1.15E-3</v>
      </c>
      <c r="E116">
        <f t="shared" si="4"/>
        <v>1.15E-3</v>
      </c>
      <c r="F116">
        <f>wyniki!$A$140</f>
        <v>0</v>
      </c>
      <c r="G116">
        <f>wyniki!B141</f>
        <v>0</v>
      </c>
      <c r="J116" s="79">
        <f t="shared" si="5"/>
        <v>0</v>
      </c>
      <c r="K116" s="69">
        <f>LARGE($E$2:$E$241,115)</f>
        <v>2.0200000000000001E-3</v>
      </c>
      <c r="L116" s="59">
        <f t="shared" si="7"/>
        <v>202</v>
      </c>
      <c r="M116" s="90">
        <f t="shared" si="6"/>
        <v>0</v>
      </c>
      <c r="N116" s="37">
        <v>115</v>
      </c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</row>
    <row r="117" spans="3:34" ht="17.25" thickTop="1" thickBot="1">
      <c r="C117">
        <f>wyniki!N142</f>
        <v>0</v>
      </c>
      <c r="D117">
        <v>1.16E-3</v>
      </c>
      <c r="E117">
        <f t="shared" si="4"/>
        <v>1.16E-3</v>
      </c>
      <c r="F117">
        <f>wyniki!$A$140</f>
        <v>0</v>
      </c>
      <c r="G117">
        <f>wyniki!B142</f>
        <v>0</v>
      </c>
      <c r="J117" s="79">
        <f t="shared" si="5"/>
        <v>0</v>
      </c>
      <c r="K117" s="69">
        <f>LARGE($E$2:$E$241,116)</f>
        <v>2.0100000000000001E-3</v>
      </c>
      <c r="L117" s="59">
        <f t="shared" si="7"/>
        <v>201</v>
      </c>
      <c r="M117" s="90">
        <f t="shared" si="6"/>
        <v>0</v>
      </c>
      <c r="N117" s="37">
        <v>116</v>
      </c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</row>
    <row r="118" spans="3:34" ht="17.25" thickTop="1" thickBot="1">
      <c r="C118">
        <f>wyniki!N143</f>
        <v>0</v>
      </c>
      <c r="D118">
        <v>1.17E-3</v>
      </c>
      <c r="E118">
        <f t="shared" si="4"/>
        <v>1.17E-3</v>
      </c>
      <c r="F118">
        <f>wyniki!$A$140</f>
        <v>0</v>
      </c>
      <c r="G118">
        <f>wyniki!B143</f>
        <v>0</v>
      </c>
      <c r="J118" s="79">
        <f t="shared" si="5"/>
        <v>0</v>
      </c>
      <c r="K118" s="69">
        <f>LARGE($E$2:$E$241,117)</f>
        <v>2E-3</v>
      </c>
      <c r="L118" s="59">
        <f t="shared" si="7"/>
        <v>200</v>
      </c>
      <c r="M118" s="90">
        <f t="shared" si="6"/>
        <v>0</v>
      </c>
      <c r="N118" s="37">
        <v>117</v>
      </c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</row>
    <row r="119" spans="3:34" ht="17.25" thickTop="1" thickBot="1">
      <c r="C119">
        <f>wyniki!N144</f>
        <v>0</v>
      </c>
      <c r="D119">
        <v>1.1800000000000001E-3</v>
      </c>
      <c r="E119">
        <f t="shared" si="4"/>
        <v>1.1800000000000001E-3</v>
      </c>
      <c r="F119">
        <f>wyniki!$A$140</f>
        <v>0</v>
      </c>
      <c r="G119">
        <f>wyniki!B144</f>
        <v>0</v>
      </c>
      <c r="J119" s="79">
        <f t="shared" si="5"/>
        <v>0</v>
      </c>
      <c r="K119" s="69">
        <f>LARGE($E$2:$E$241,118)</f>
        <v>1.99E-3</v>
      </c>
      <c r="L119" s="59">
        <f t="shared" si="7"/>
        <v>199</v>
      </c>
      <c r="M119" s="90">
        <f t="shared" si="6"/>
        <v>0</v>
      </c>
      <c r="N119" s="37">
        <v>118</v>
      </c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</row>
    <row r="120" spans="3:34" ht="17.25" thickTop="1" thickBot="1">
      <c r="C120">
        <f>wyniki!N145</f>
        <v>0</v>
      </c>
      <c r="D120">
        <v>1.1900000000000001E-3</v>
      </c>
      <c r="E120">
        <f t="shared" si="4"/>
        <v>1.1900000000000001E-3</v>
      </c>
      <c r="F120">
        <f>wyniki!$A$140</f>
        <v>0</v>
      </c>
      <c r="G120">
        <f>wyniki!B145</f>
        <v>0</v>
      </c>
      <c r="J120" s="79">
        <f t="shared" si="5"/>
        <v>0</v>
      </c>
      <c r="K120" s="69">
        <f>LARGE($E$2:$E$241,119)</f>
        <v>1.98E-3</v>
      </c>
      <c r="L120" s="59">
        <f t="shared" si="7"/>
        <v>198</v>
      </c>
      <c r="M120" s="90">
        <f t="shared" si="6"/>
        <v>0</v>
      </c>
      <c r="N120" s="37">
        <v>119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</row>
    <row r="121" spans="3:34" ht="17.25" thickTop="1" thickBot="1">
      <c r="C121">
        <f>wyniki!N146</f>
        <v>0</v>
      </c>
      <c r="D121">
        <v>1.1999999999999999E-3</v>
      </c>
      <c r="E121">
        <f t="shared" si="4"/>
        <v>1.1999999999999999E-3</v>
      </c>
      <c r="F121">
        <f>wyniki!$A$140</f>
        <v>0</v>
      </c>
      <c r="G121">
        <f>wyniki!B146</f>
        <v>0</v>
      </c>
      <c r="J121" s="79">
        <f t="shared" si="5"/>
        <v>0</v>
      </c>
      <c r="K121" s="69">
        <f>LARGE($E$2:$E$241,120)</f>
        <v>1.97E-3</v>
      </c>
      <c r="L121" s="59">
        <f t="shared" si="7"/>
        <v>197</v>
      </c>
      <c r="M121" s="90">
        <f t="shared" si="6"/>
        <v>0</v>
      </c>
      <c r="N121" s="37">
        <v>120</v>
      </c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</row>
    <row r="122" spans="3:34" ht="17.25" thickTop="1" thickBot="1">
      <c r="C122">
        <f>wyniki!N148</f>
        <v>0</v>
      </c>
      <c r="D122">
        <v>1.2099999999999999E-3</v>
      </c>
      <c r="E122">
        <f t="shared" si="4"/>
        <v>1.2099999999999999E-3</v>
      </c>
      <c r="F122">
        <f>wyniki!$A$147</f>
        <v>0</v>
      </c>
      <c r="G122">
        <f>wyniki!B148</f>
        <v>0</v>
      </c>
      <c r="J122" s="79">
        <f t="shared" si="5"/>
        <v>0</v>
      </c>
      <c r="K122" s="69">
        <f>LARGE($E$2:$E$241,121)</f>
        <v>1.9599999999999999E-3</v>
      </c>
      <c r="L122" s="59">
        <f t="shared" si="7"/>
        <v>196</v>
      </c>
      <c r="M122" s="90">
        <f t="shared" si="6"/>
        <v>0</v>
      </c>
      <c r="N122" s="37">
        <v>121</v>
      </c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</row>
    <row r="123" spans="3:34" ht="17.25" thickTop="1" thickBot="1">
      <c r="C123">
        <f>wyniki!N149</f>
        <v>0</v>
      </c>
      <c r="D123">
        <v>1.2199999999999999E-3</v>
      </c>
      <c r="E123">
        <f t="shared" si="4"/>
        <v>1.2199999999999999E-3</v>
      </c>
      <c r="F123">
        <f>wyniki!$A$147</f>
        <v>0</v>
      </c>
      <c r="G123">
        <f>wyniki!B149</f>
        <v>0</v>
      </c>
      <c r="J123" s="79">
        <f t="shared" si="5"/>
        <v>0</v>
      </c>
      <c r="K123" s="69">
        <f>LARGE($E$2:$E$241,122)</f>
        <v>1.9499999999999999E-3</v>
      </c>
      <c r="L123" s="59">
        <f t="shared" si="7"/>
        <v>195</v>
      </c>
      <c r="M123" s="90">
        <f t="shared" si="6"/>
        <v>0</v>
      </c>
      <c r="N123" s="37">
        <v>122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</row>
    <row r="124" spans="3:34" ht="17.25" thickTop="1" thickBot="1">
      <c r="C124">
        <f>wyniki!N150</f>
        <v>0</v>
      </c>
      <c r="D124">
        <v>1.23E-3</v>
      </c>
      <c r="E124">
        <f t="shared" si="4"/>
        <v>1.23E-3</v>
      </c>
      <c r="F124">
        <f>wyniki!$A$147</f>
        <v>0</v>
      </c>
      <c r="G124">
        <f>wyniki!B150</f>
        <v>0</v>
      </c>
      <c r="J124" s="79">
        <f t="shared" si="5"/>
        <v>0</v>
      </c>
      <c r="K124" s="69">
        <f>LARGE($E$2:$E$241,123)</f>
        <v>1.9400000000000001E-3</v>
      </c>
      <c r="L124" s="59">
        <f t="shared" si="7"/>
        <v>194</v>
      </c>
      <c r="M124" s="90">
        <f t="shared" si="6"/>
        <v>0</v>
      </c>
      <c r="N124" s="37">
        <v>123</v>
      </c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</row>
    <row r="125" spans="3:34" ht="17.25" thickTop="1" thickBot="1">
      <c r="C125">
        <f>wyniki!N151</f>
        <v>0</v>
      </c>
      <c r="D125">
        <v>1.24E-3</v>
      </c>
      <c r="E125">
        <f t="shared" si="4"/>
        <v>1.24E-3</v>
      </c>
      <c r="F125">
        <f>wyniki!$A$147</f>
        <v>0</v>
      </c>
      <c r="G125">
        <f>wyniki!B151</f>
        <v>0</v>
      </c>
      <c r="J125" s="79">
        <f t="shared" si="5"/>
        <v>0</v>
      </c>
      <c r="K125" s="69">
        <f>LARGE($E$2:$E$241,124)</f>
        <v>1.9300000000000001E-3</v>
      </c>
      <c r="L125" s="59">
        <f t="shared" si="7"/>
        <v>193</v>
      </c>
      <c r="M125" s="90">
        <f t="shared" si="6"/>
        <v>0</v>
      </c>
      <c r="N125" s="37">
        <v>124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</row>
    <row r="126" spans="3:34" ht="17.25" thickTop="1" thickBot="1">
      <c r="C126">
        <f>wyniki!N152</f>
        <v>0</v>
      </c>
      <c r="D126">
        <v>1.25E-3</v>
      </c>
      <c r="E126">
        <f t="shared" si="4"/>
        <v>1.25E-3</v>
      </c>
      <c r="F126">
        <f>wyniki!$A$147</f>
        <v>0</v>
      </c>
      <c r="G126">
        <f>wyniki!B152</f>
        <v>0</v>
      </c>
      <c r="J126" s="79">
        <f t="shared" si="5"/>
        <v>0</v>
      </c>
      <c r="K126" s="69">
        <f>LARGE($E$2:$E$241,125)</f>
        <v>1.92E-3</v>
      </c>
      <c r="L126" s="59">
        <f t="shared" si="7"/>
        <v>192</v>
      </c>
      <c r="M126" s="90">
        <f t="shared" si="6"/>
        <v>0</v>
      </c>
      <c r="N126" s="37">
        <v>125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</row>
    <row r="127" spans="3:34" ht="17.25" thickTop="1" thickBot="1">
      <c r="C127">
        <f>wyniki!N153</f>
        <v>0</v>
      </c>
      <c r="D127">
        <v>1.2600000000000001E-3</v>
      </c>
      <c r="E127">
        <f t="shared" si="4"/>
        <v>1.2600000000000001E-3</v>
      </c>
      <c r="F127">
        <f>wyniki!$A$147</f>
        <v>0</v>
      </c>
      <c r="G127">
        <f>wyniki!B153</f>
        <v>0</v>
      </c>
      <c r="J127" s="79">
        <f t="shared" si="5"/>
        <v>0</v>
      </c>
      <c r="K127" s="69">
        <f>LARGE($E$2:$E$241,126)</f>
        <v>1.91E-3</v>
      </c>
      <c r="L127" s="59">
        <f t="shared" si="7"/>
        <v>191</v>
      </c>
      <c r="M127" s="90">
        <f t="shared" si="6"/>
        <v>0</v>
      </c>
      <c r="N127" s="37">
        <v>126</v>
      </c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</row>
    <row r="128" spans="3:34" ht="17.25" thickTop="1" thickBot="1">
      <c r="C128">
        <f>wyniki!N155</f>
        <v>0</v>
      </c>
      <c r="D128">
        <v>1.2700000000000001E-3</v>
      </c>
      <c r="E128">
        <f t="shared" si="4"/>
        <v>1.2700000000000001E-3</v>
      </c>
      <c r="F128">
        <f>wyniki!$A$154</f>
        <v>0</v>
      </c>
      <c r="G128">
        <f>wyniki!B155</f>
        <v>0</v>
      </c>
      <c r="J128" s="79">
        <f t="shared" si="5"/>
        <v>0</v>
      </c>
      <c r="K128" s="69">
        <f>LARGE($E$2:$E$241,127)</f>
        <v>1.9E-3</v>
      </c>
      <c r="L128" s="59">
        <f t="shared" si="7"/>
        <v>190</v>
      </c>
      <c r="M128" s="90">
        <f t="shared" si="6"/>
        <v>0</v>
      </c>
      <c r="N128" s="37">
        <v>127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</row>
    <row r="129" spans="3:34" ht="17.25" thickTop="1" thickBot="1">
      <c r="C129">
        <f>wyniki!N156</f>
        <v>0</v>
      </c>
      <c r="D129">
        <v>1.2800000000000001E-3</v>
      </c>
      <c r="E129">
        <f t="shared" si="4"/>
        <v>1.2800000000000001E-3</v>
      </c>
      <c r="F129">
        <f>wyniki!$A$154</f>
        <v>0</v>
      </c>
      <c r="G129">
        <f>wyniki!B156</f>
        <v>0</v>
      </c>
      <c r="J129" s="79">
        <f t="shared" si="5"/>
        <v>0</v>
      </c>
      <c r="K129" s="69">
        <f>LARGE($E$2:$E$241,128)</f>
        <v>1.89E-3</v>
      </c>
      <c r="L129" s="59">
        <f t="shared" si="7"/>
        <v>189</v>
      </c>
      <c r="M129" s="90">
        <f t="shared" si="6"/>
        <v>0</v>
      </c>
      <c r="N129" s="37">
        <v>128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</row>
    <row r="130" spans="3:34" ht="17.25" thickTop="1" thickBot="1">
      <c r="C130">
        <f>wyniki!N157</f>
        <v>0</v>
      </c>
      <c r="D130">
        <v>1.2899999999999999E-3</v>
      </c>
      <c r="E130">
        <f t="shared" si="4"/>
        <v>1.2899999999999999E-3</v>
      </c>
      <c r="F130">
        <f>wyniki!$A$154</f>
        <v>0</v>
      </c>
      <c r="G130">
        <f>wyniki!B157</f>
        <v>0</v>
      </c>
      <c r="J130" s="79">
        <f t="shared" si="5"/>
        <v>0</v>
      </c>
      <c r="K130" s="69">
        <f>LARGE($E$2:$E$241,129)</f>
        <v>1.8799999999999999E-3</v>
      </c>
      <c r="L130" s="59">
        <f t="shared" si="7"/>
        <v>188</v>
      </c>
      <c r="M130" s="90">
        <f t="shared" si="6"/>
        <v>0</v>
      </c>
      <c r="N130" s="37">
        <v>129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</row>
    <row r="131" spans="3:34" ht="17.25" thickTop="1" thickBot="1">
      <c r="C131">
        <f>wyniki!N158</f>
        <v>0</v>
      </c>
      <c r="D131">
        <v>1.2999999999999999E-3</v>
      </c>
      <c r="E131">
        <f t="shared" ref="E131:E194" si="8">C131+D131</f>
        <v>1.2999999999999999E-3</v>
      </c>
      <c r="F131">
        <f>wyniki!$A$154</f>
        <v>0</v>
      </c>
      <c r="G131">
        <f>wyniki!B158</f>
        <v>0</v>
      </c>
      <c r="J131" s="79">
        <f t="shared" ref="J131:J194" si="9">INDEX($E$2:$G$241,L131,3)</f>
        <v>0</v>
      </c>
      <c r="K131" s="69">
        <f>LARGE($E$2:$E$241,130)</f>
        <v>1.8699999999999999E-3</v>
      </c>
      <c r="L131" s="59">
        <f t="shared" si="7"/>
        <v>187</v>
      </c>
      <c r="M131" s="90">
        <f t="shared" ref="M131:M194" si="10">INDEX($E$2:$F$241,L131,2)</f>
        <v>0</v>
      </c>
      <c r="N131" s="37">
        <v>130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</row>
    <row r="132" spans="3:34" ht="17.25" thickTop="1" thickBot="1">
      <c r="C132">
        <f>wyniki!N159</f>
        <v>0</v>
      </c>
      <c r="D132">
        <v>1.31E-3</v>
      </c>
      <c r="E132">
        <f t="shared" si="8"/>
        <v>1.31E-3</v>
      </c>
      <c r="F132">
        <f>wyniki!$A$154</f>
        <v>0</v>
      </c>
      <c r="G132">
        <f>wyniki!B159</f>
        <v>0</v>
      </c>
      <c r="J132" s="79">
        <f t="shared" si="9"/>
        <v>0</v>
      </c>
      <c r="K132" s="69">
        <f>LARGE($E$2:$E$241,131)</f>
        <v>1.8600000000000001E-3</v>
      </c>
      <c r="L132" s="59">
        <f t="shared" ref="L132:L195" si="11">MATCH(K132,$E$2:$E$241,0)</f>
        <v>186</v>
      </c>
      <c r="M132" s="90">
        <f t="shared" si="10"/>
        <v>0</v>
      </c>
      <c r="N132" s="37">
        <v>131</v>
      </c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</row>
    <row r="133" spans="3:34" ht="17.25" thickTop="1" thickBot="1">
      <c r="C133">
        <f>wyniki!N160</f>
        <v>0</v>
      </c>
      <c r="D133">
        <v>1.32E-3</v>
      </c>
      <c r="E133">
        <f t="shared" si="8"/>
        <v>1.32E-3</v>
      </c>
      <c r="F133">
        <f>wyniki!$A$154</f>
        <v>0</v>
      </c>
      <c r="G133">
        <f>wyniki!B160</f>
        <v>0</v>
      </c>
      <c r="J133" s="79">
        <f t="shared" si="9"/>
        <v>0</v>
      </c>
      <c r="K133" s="69">
        <f>LARGE($E$2:$E$241,132)</f>
        <v>1.8500000000000001E-3</v>
      </c>
      <c r="L133" s="59">
        <f t="shared" si="11"/>
        <v>185</v>
      </c>
      <c r="M133" s="90">
        <f t="shared" si="10"/>
        <v>0</v>
      </c>
      <c r="N133" s="37">
        <v>132</v>
      </c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</row>
    <row r="134" spans="3:34" ht="17.25" thickTop="1" thickBot="1">
      <c r="C134">
        <f>wyniki!N162</f>
        <v>0</v>
      </c>
      <c r="D134">
        <v>1.33E-3</v>
      </c>
      <c r="E134">
        <f t="shared" si="8"/>
        <v>1.33E-3</v>
      </c>
      <c r="F134">
        <f>wyniki!$A$161</f>
        <v>0</v>
      </c>
      <c r="G134">
        <f>wyniki!B162</f>
        <v>0</v>
      </c>
      <c r="J134" s="79">
        <f t="shared" si="9"/>
        <v>0</v>
      </c>
      <c r="K134" s="69">
        <f>LARGE($E$2:$E$241,133)</f>
        <v>1.8400000000000001E-3</v>
      </c>
      <c r="L134" s="59">
        <f t="shared" si="11"/>
        <v>184</v>
      </c>
      <c r="M134" s="90">
        <f t="shared" si="10"/>
        <v>0</v>
      </c>
      <c r="N134" s="37">
        <v>133</v>
      </c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</row>
    <row r="135" spans="3:34" ht="17.25" thickTop="1" thickBot="1">
      <c r="C135">
        <f>wyniki!N163</f>
        <v>0</v>
      </c>
      <c r="D135">
        <v>1.34E-3</v>
      </c>
      <c r="E135">
        <f t="shared" si="8"/>
        <v>1.34E-3</v>
      </c>
      <c r="F135">
        <f>wyniki!$A$161</f>
        <v>0</v>
      </c>
      <c r="G135">
        <f>wyniki!B163</f>
        <v>0</v>
      </c>
      <c r="J135" s="79">
        <f t="shared" si="9"/>
        <v>0</v>
      </c>
      <c r="K135" s="69">
        <f>LARGE($E$2:$E$241,134)</f>
        <v>1.83E-3</v>
      </c>
      <c r="L135" s="59">
        <f t="shared" si="11"/>
        <v>183</v>
      </c>
      <c r="M135" s="90">
        <f t="shared" si="10"/>
        <v>0</v>
      </c>
      <c r="N135" s="37">
        <v>134</v>
      </c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</row>
    <row r="136" spans="3:34" ht="17.25" thickTop="1" thickBot="1">
      <c r="C136">
        <f>wyniki!N164</f>
        <v>0</v>
      </c>
      <c r="D136">
        <v>1.3500000000000001E-3</v>
      </c>
      <c r="E136">
        <f t="shared" si="8"/>
        <v>1.3500000000000001E-3</v>
      </c>
      <c r="F136">
        <f>wyniki!$A$161</f>
        <v>0</v>
      </c>
      <c r="G136">
        <f>wyniki!B164</f>
        <v>0</v>
      </c>
      <c r="J136" s="79">
        <f t="shared" si="9"/>
        <v>0</v>
      </c>
      <c r="K136" s="69">
        <f>LARGE($E$2:$E$241,135)</f>
        <v>1.82E-3</v>
      </c>
      <c r="L136" s="59">
        <f t="shared" si="11"/>
        <v>182</v>
      </c>
      <c r="M136" s="90">
        <f t="shared" si="10"/>
        <v>0</v>
      </c>
      <c r="N136" s="37">
        <v>135</v>
      </c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</row>
    <row r="137" spans="3:34" ht="17.25" thickTop="1" thickBot="1">
      <c r="C137">
        <f>wyniki!N165</f>
        <v>0</v>
      </c>
      <c r="D137">
        <v>1.3600000000000001E-3</v>
      </c>
      <c r="E137">
        <f t="shared" si="8"/>
        <v>1.3600000000000001E-3</v>
      </c>
      <c r="F137">
        <f>wyniki!$A$161</f>
        <v>0</v>
      </c>
      <c r="G137">
        <f>wyniki!B165</f>
        <v>0</v>
      </c>
      <c r="J137" s="79">
        <f t="shared" si="9"/>
        <v>0</v>
      </c>
      <c r="K137" s="69">
        <f>LARGE($E$2:$E$241,136)</f>
        <v>1.81E-3</v>
      </c>
      <c r="L137" s="59">
        <f t="shared" si="11"/>
        <v>181</v>
      </c>
      <c r="M137" s="90">
        <f t="shared" si="10"/>
        <v>0</v>
      </c>
      <c r="N137" s="37">
        <v>136</v>
      </c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</row>
    <row r="138" spans="3:34" ht="17.25" thickTop="1" thickBot="1">
      <c r="C138">
        <f>wyniki!N166</f>
        <v>0</v>
      </c>
      <c r="D138">
        <v>1.3699999999999999E-3</v>
      </c>
      <c r="E138">
        <f t="shared" si="8"/>
        <v>1.3699999999999999E-3</v>
      </c>
      <c r="F138">
        <f>wyniki!$A$161</f>
        <v>0</v>
      </c>
      <c r="G138">
        <f>wyniki!B166</f>
        <v>0</v>
      </c>
      <c r="J138" s="79">
        <f t="shared" si="9"/>
        <v>0</v>
      </c>
      <c r="K138" s="69">
        <f>LARGE($E$2:$E$241,137)</f>
        <v>1.8E-3</v>
      </c>
      <c r="L138" s="59">
        <f t="shared" si="11"/>
        <v>180</v>
      </c>
      <c r="M138" s="90">
        <f t="shared" si="10"/>
        <v>0</v>
      </c>
      <c r="N138" s="37">
        <v>137</v>
      </c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</row>
    <row r="139" spans="3:34" ht="17.25" thickTop="1" thickBot="1">
      <c r="C139">
        <f>wyniki!N167</f>
        <v>0</v>
      </c>
      <c r="D139">
        <v>1.3799999999999999E-3</v>
      </c>
      <c r="E139">
        <f t="shared" si="8"/>
        <v>1.3799999999999999E-3</v>
      </c>
      <c r="F139">
        <f>wyniki!$A$161</f>
        <v>0</v>
      </c>
      <c r="G139">
        <f>wyniki!B167</f>
        <v>0</v>
      </c>
      <c r="J139" s="79">
        <f t="shared" si="9"/>
        <v>0</v>
      </c>
      <c r="K139" s="69">
        <f>LARGE($E$2:$E$241,138)</f>
        <v>1.7899999999999999E-3</v>
      </c>
      <c r="L139" s="59">
        <f t="shared" si="11"/>
        <v>179</v>
      </c>
      <c r="M139" s="90">
        <f t="shared" si="10"/>
        <v>0</v>
      </c>
      <c r="N139" s="37">
        <v>138</v>
      </c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</row>
    <row r="140" spans="3:34" ht="17.25" thickTop="1" thickBot="1">
      <c r="C140">
        <f>wyniki!N169</f>
        <v>0</v>
      </c>
      <c r="D140">
        <v>1.39E-3</v>
      </c>
      <c r="E140">
        <f t="shared" si="8"/>
        <v>1.39E-3</v>
      </c>
      <c r="F140">
        <f>wyniki!$A$168</f>
        <v>0</v>
      </c>
      <c r="G140">
        <f>wyniki!B169</f>
        <v>0</v>
      </c>
      <c r="J140" s="79">
        <f t="shared" si="9"/>
        <v>0</v>
      </c>
      <c r="K140" s="69">
        <f>LARGE($E$2:$E$241,139)</f>
        <v>1.7799999999999999E-3</v>
      </c>
      <c r="L140" s="59">
        <f t="shared" si="11"/>
        <v>178</v>
      </c>
      <c r="M140" s="90">
        <f t="shared" si="10"/>
        <v>0</v>
      </c>
      <c r="N140" s="37">
        <v>139</v>
      </c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</row>
    <row r="141" spans="3:34" ht="17.25" thickTop="1" thickBot="1">
      <c r="C141">
        <f>wyniki!N170</f>
        <v>0</v>
      </c>
      <c r="D141">
        <v>1.4E-3</v>
      </c>
      <c r="E141">
        <f t="shared" si="8"/>
        <v>1.4E-3</v>
      </c>
      <c r="F141">
        <f>wyniki!$A$168</f>
        <v>0</v>
      </c>
      <c r="G141">
        <f>wyniki!B170</f>
        <v>0</v>
      </c>
      <c r="J141" s="79">
        <f t="shared" si="9"/>
        <v>0</v>
      </c>
      <c r="K141" s="69">
        <f>LARGE($E$2:$E$241,140)</f>
        <v>1.7700000000000001E-3</v>
      </c>
      <c r="L141" s="59">
        <f t="shared" si="11"/>
        <v>177</v>
      </c>
      <c r="M141" s="90">
        <f t="shared" si="10"/>
        <v>0</v>
      </c>
      <c r="N141" s="37">
        <v>140</v>
      </c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</row>
    <row r="142" spans="3:34" ht="17.25" thickTop="1" thickBot="1">
      <c r="C142">
        <f>wyniki!N171</f>
        <v>0</v>
      </c>
      <c r="D142">
        <v>1.41E-3</v>
      </c>
      <c r="E142">
        <f t="shared" si="8"/>
        <v>1.41E-3</v>
      </c>
      <c r="F142">
        <f>wyniki!$A$168</f>
        <v>0</v>
      </c>
      <c r="G142">
        <f>wyniki!B171</f>
        <v>0</v>
      </c>
      <c r="J142" s="79">
        <f t="shared" si="9"/>
        <v>0</v>
      </c>
      <c r="K142" s="69">
        <f>LARGE($E$2:$E$241,141)</f>
        <v>1.7600000000000001E-3</v>
      </c>
      <c r="L142" s="59">
        <f t="shared" si="11"/>
        <v>176</v>
      </c>
      <c r="M142" s="90">
        <f t="shared" si="10"/>
        <v>0</v>
      </c>
      <c r="N142" s="37">
        <v>141</v>
      </c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</row>
    <row r="143" spans="3:34" ht="17.25" thickTop="1" thickBot="1">
      <c r="C143">
        <f>wyniki!N172</f>
        <v>0</v>
      </c>
      <c r="D143">
        <v>1.42E-3</v>
      </c>
      <c r="E143">
        <f t="shared" si="8"/>
        <v>1.42E-3</v>
      </c>
      <c r="F143">
        <f>wyniki!$A$168</f>
        <v>0</v>
      </c>
      <c r="G143">
        <f>wyniki!B172</f>
        <v>0</v>
      </c>
      <c r="J143" s="79">
        <f t="shared" si="9"/>
        <v>0</v>
      </c>
      <c r="K143" s="69">
        <f>LARGE($E$2:$E$241,142)</f>
        <v>1.75E-3</v>
      </c>
      <c r="L143" s="59">
        <f t="shared" si="11"/>
        <v>175</v>
      </c>
      <c r="M143" s="90">
        <f t="shared" si="10"/>
        <v>0</v>
      </c>
      <c r="N143" s="37">
        <v>142</v>
      </c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</row>
    <row r="144" spans="3:34" ht="17.25" thickTop="1" thickBot="1">
      <c r="C144">
        <f>wyniki!N173</f>
        <v>0</v>
      </c>
      <c r="D144">
        <v>1.4300000000000001E-3</v>
      </c>
      <c r="E144">
        <f t="shared" si="8"/>
        <v>1.4300000000000001E-3</v>
      </c>
      <c r="F144">
        <f>wyniki!$A$168</f>
        <v>0</v>
      </c>
      <c r="G144">
        <f>wyniki!B173</f>
        <v>0</v>
      </c>
      <c r="J144" s="79">
        <f t="shared" si="9"/>
        <v>0</v>
      </c>
      <c r="K144" s="69">
        <f>LARGE($E$2:$E$241,143)</f>
        <v>1.74E-3</v>
      </c>
      <c r="L144" s="59">
        <f t="shared" si="11"/>
        <v>174</v>
      </c>
      <c r="M144" s="90">
        <f t="shared" si="10"/>
        <v>0</v>
      </c>
      <c r="N144" s="37">
        <v>143</v>
      </c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</row>
    <row r="145" spans="3:34" ht="17.25" thickTop="1" thickBot="1">
      <c r="C145">
        <f>wyniki!N174</f>
        <v>0</v>
      </c>
      <c r="D145">
        <v>1.4400000000000001E-3</v>
      </c>
      <c r="E145">
        <f t="shared" si="8"/>
        <v>1.4400000000000001E-3</v>
      </c>
      <c r="F145">
        <f>wyniki!$A$168</f>
        <v>0</v>
      </c>
      <c r="G145">
        <f>wyniki!B174</f>
        <v>0</v>
      </c>
      <c r="J145" s="79">
        <f t="shared" si="9"/>
        <v>0</v>
      </c>
      <c r="K145" s="69">
        <f>LARGE($E$2:$E$241,144)</f>
        <v>1.73E-3</v>
      </c>
      <c r="L145" s="59">
        <f t="shared" si="11"/>
        <v>173</v>
      </c>
      <c r="M145" s="90">
        <f t="shared" si="10"/>
        <v>0</v>
      </c>
      <c r="N145" s="37">
        <v>144</v>
      </c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</row>
    <row r="146" spans="3:34" ht="17.25" thickTop="1" thickBot="1">
      <c r="C146">
        <f>wyniki!N176</f>
        <v>0</v>
      </c>
      <c r="D146">
        <v>1.4499999999999999E-3</v>
      </c>
      <c r="E146">
        <f t="shared" si="8"/>
        <v>1.4499999999999999E-3</v>
      </c>
      <c r="F146">
        <f>wyniki!$A$175</f>
        <v>0</v>
      </c>
      <c r="G146">
        <f>wyniki!B176</f>
        <v>0</v>
      </c>
      <c r="J146" s="79">
        <f t="shared" si="9"/>
        <v>0</v>
      </c>
      <c r="K146" s="69">
        <f>LARGE($E$2:$E$241,145)</f>
        <v>1.72E-3</v>
      </c>
      <c r="L146" s="59">
        <f t="shared" si="11"/>
        <v>172</v>
      </c>
      <c r="M146" s="90">
        <f t="shared" si="10"/>
        <v>0</v>
      </c>
      <c r="N146" s="37">
        <v>145</v>
      </c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</row>
    <row r="147" spans="3:34" ht="17.25" thickTop="1" thickBot="1">
      <c r="C147">
        <f>wyniki!N177</f>
        <v>0</v>
      </c>
      <c r="D147">
        <v>1.4599999999999999E-3</v>
      </c>
      <c r="E147">
        <f t="shared" si="8"/>
        <v>1.4599999999999999E-3</v>
      </c>
      <c r="F147">
        <f>wyniki!$A$175</f>
        <v>0</v>
      </c>
      <c r="G147">
        <f>wyniki!B177</f>
        <v>0</v>
      </c>
      <c r="J147" s="79">
        <f t="shared" si="9"/>
        <v>0</v>
      </c>
      <c r="K147" s="69">
        <f>LARGE($E$2:$E$241,146)</f>
        <v>1.7099999999999999E-3</v>
      </c>
      <c r="L147" s="59">
        <f t="shared" si="11"/>
        <v>171</v>
      </c>
      <c r="M147" s="90">
        <f t="shared" si="10"/>
        <v>0</v>
      </c>
      <c r="N147" s="37">
        <v>146</v>
      </c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</row>
    <row r="148" spans="3:34" ht="17.25" thickTop="1" thickBot="1">
      <c r="C148">
        <f>wyniki!N178</f>
        <v>0</v>
      </c>
      <c r="D148">
        <v>1.47E-3</v>
      </c>
      <c r="E148">
        <f t="shared" si="8"/>
        <v>1.47E-3</v>
      </c>
      <c r="F148">
        <f>wyniki!$A$175</f>
        <v>0</v>
      </c>
      <c r="G148">
        <f>wyniki!B178</f>
        <v>0</v>
      </c>
      <c r="J148" s="79">
        <f t="shared" si="9"/>
        <v>0</v>
      </c>
      <c r="K148" s="69">
        <f>LARGE($E$2:$E$241,147)</f>
        <v>1.6999999999999999E-3</v>
      </c>
      <c r="L148" s="59">
        <f t="shared" si="11"/>
        <v>170</v>
      </c>
      <c r="M148" s="90">
        <f t="shared" si="10"/>
        <v>0</v>
      </c>
      <c r="N148" s="37">
        <v>147</v>
      </c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</row>
    <row r="149" spans="3:34" ht="17.25" thickTop="1" thickBot="1">
      <c r="C149">
        <f>wyniki!N179</f>
        <v>0</v>
      </c>
      <c r="D149">
        <v>1.48E-3</v>
      </c>
      <c r="E149">
        <f t="shared" si="8"/>
        <v>1.48E-3</v>
      </c>
      <c r="F149">
        <f>wyniki!$A$175</f>
        <v>0</v>
      </c>
      <c r="G149">
        <f>wyniki!B179</f>
        <v>0</v>
      </c>
      <c r="J149" s="79">
        <f t="shared" si="9"/>
        <v>0</v>
      </c>
      <c r="K149" s="69">
        <f>LARGE($E$2:$E$241,148)</f>
        <v>1.6900000000000001E-3</v>
      </c>
      <c r="L149" s="59">
        <f t="shared" si="11"/>
        <v>169</v>
      </c>
      <c r="M149" s="90">
        <f t="shared" si="10"/>
        <v>0</v>
      </c>
      <c r="N149" s="37">
        <v>148</v>
      </c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</row>
    <row r="150" spans="3:34" ht="17.25" thickTop="1" thickBot="1">
      <c r="C150">
        <f>wyniki!N180</f>
        <v>0</v>
      </c>
      <c r="D150">
        <v>1.49E-3</v>
      </c>
      <c r="E150">
        <f t="shared" si="8"/>
        <v>1.49E-3</v>
      </c>
      <c r="F150">
        <f>wyniki!$A$175</f>
        <v>0</v>
      </c>
      <c r="G150">
        <f>wyniki!B180</f>
        <v>0</v>
      </c>
      <c r="J150" s="79">
        <f t="shared" si="9"/>
        <v>0</v>
      </c>
      <c r="K150" s="69">
        <f>LARGE($E$2:$E$241,149)</f>
        <v>1.6800000000000001E-3</v>
      </c>
      <c r="L150" s="59">
        <f t="shared" si="11"/>
        <v>168</v>
      </c>
      <c r="M150" s="90">
        <f t="shared" si="10"/>
        <v>0</v>
      </c>
      <c r="N150" s="37">
        <v>149</v>
      </c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</row>
    <row r="151" spans="3:34" ht="17.25" thickTop="1" thickBot="1">
      <c r="C151">
        <f>wyniki!N181</f>
        <v>0</v>
      </c>
      <c r="D151">
        <v>1.5E-3</v>
      </c>
      <c r="E151">
        <f t="shared" si="8"/>
        <v>1.5E-3</v>
      </c>
      <c r="F151">
        <f>wyniki!$A$175</f>
        <v>0</v>
      </c>
      <c r="G151">
        <f>wyniki!B181</f>
        <v>0</v>
      </c>
      <c r="J151" s="79">
        <f t="shared" si="9"/>
        <v>0</v>
      </c>
      <c r="K151" s="69">
        <f>LARGE($E$2:$E$241,150)</f>
        <v>1.67E-3</v>
      </c>
      <c r="L151" s="59">
        <f t="shared" si="11"/>
        <v>167</v>
      </c>
      <c r="M151" s="90">
        <f t="shared" si="10"/>
        <v>0</v>
      </c>
      <c r="N151" s="37">
        <v>150</v>
      </c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</row>
    <row r="152" spans="3:34" ht="17.25" thickTop="1" thickBot="1">
      <c r="C152">
        <f>wyniki!N183</f>
        <v>0</v>
      </c>
      <c r="D152">
        <v>1.5100000000000001E-3</v>
      </c>
      <c r="E152">
        <f t="shared" si="8"/>
        <v>1.5100000000000001E-3</v>
      </c>
      <c r="F152">
        <f>wyniki!$A$182</f>
        <v>0</v>
      </c>
      <c r="G152">
        <f>wyniki!B183</f>
        <v>0</v>
      </c>
      <c r="J152" s="79">
        <f t="shared" si="9"/>
        <v>0</v>
      </c>
      <c r="K152" s="69">
        <f>LARGE($E$2:$E$241,151)</f>
        <v>1.66E-3</v>
      </c>
      <c r="L152" s="59">
        <f t="shared" si="11"/>
        <v>166</v>
      </c>
      <c r="M152" s="90">
        <f t="shared" si="10"/>
        <v>0</v>
      </c>
      <c r="N152" s="37">
        <v>151</v>
      </c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</row>
    <row r="153" spans="3:34" ht="17.25" thickTop="1" thickBot="1">
      <c r="C153">
        <f>wyniki!N184</f>
        <v>0</v>
      </c>
      <c r="D153">
        <v>1.5200000000000001E-3</v>
      </c>
      <c r="E153">
        <f t="shared" si="8"/>
        <v>1.5200000000000001E-3</v>
      </c>
      <c r="F153">
        <f>wyniki!$A$182</f>
        <v>0</v>
      </c>
      <c r="G153">
        <f>wyniki!B184</f>
        <v>0</v>
      </c>
      <c r="J153" s="79">
        <f t="shared" si="9"/>
        <v>0</v>
      </c>
      <c r="K153" s="69">
        <f>LARGE($E$2:$E$241,152)</f>
        <v>1.65E-3</v>
      </c>
      <c r="L153" s="59">
        <f t="shared" si="11"/>
        <v>165</v>
      </c>
      <c r="M153" s="90">
        <f t="shared" si="10"/>
        <v>0</v>
      </c>
      <c r="N153" s="37">
        <v>152</v>
      </c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</row>
    <row r="154" spans="3:34" ht="17.25" thickTop="1" thickBot="1">
      <c r="C154">
        <f>wyniki!N185</f>
        <v>0</v>
      </c>
      <c r="D154">
        <v>1.5299999999999999E-3</v>
      </c>
      <c r="E154">
        <f t="shared" si="8"/>
        <v>1.5299999999999999E-3</v>
      </c>
      <c r="F154">
        <f>wyniki!$A$182</f>
        <v>0</v>
      </c>
      <c r="G154">
        <f>wyniki!B185</f>
        <v>0</v>
      </c>
      <c r="J154" s="79">
        <f t="shared" si="9"/>
        <v>0</v>
      </c>
      <c r="K154" s="69">
        <f>LARGE($E$2:$E$241,153)</f>
        <v>1.64E-3</v>
      </c>
      <c r="L154" s="59">
        <f t="shared" si="11"/>
        <v>164</v>
      </c>
      <c r="M154" s="90">
        <f t="shared" si="10"/>
        <v>0</v>
      </c>
      <c r="N154" s="37">
        <v>153</v>
      </c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</row>
    <row r="155" spans="3:34" ht="17.25" thickTop="1" thickBot="1">
      <c r="C155">
        <f>wyniki!N186</f>
        <v>0</v>
      </c>
      <c r="D155">
        <v>1.5399999999999999E-3</v>
      </c>
      <c r="E155">
        <f t="shared" si="8"/>
        <v>1.5399999999999999E-3</v>
      </c>
      <c r="F155">
        <f>wyniki!$A$182</f>
        <v>0</v>
      </c>
      <c r="G155">
        <f>wyniki!B186</f>
        <v>0</v>
      </c>
      <c r="J155" s="79">
        <f t="shared" si="9"/>
        <v>0</v>
      </c>
      <c r="K155" s="69">
        <f>LARGE($E$2:$E$241,154)</f>
        <v>1.6299999999999999E-3</v>
      </c>
      <c r="L155" s="59">
        <f t="shared" si="11"/>
        <v>163</v>
      </c>
      <c r="M155" s="90">
        <f t="shared" si="10"/>
        <v>0</v>
      </c>
      <c r="N155" s="37">
        <v>154</v>
      </c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</row>
    <row r="156" spans="3:34" ht="17.25" thickTop="1" thickBot="1">
      <c r="C156">
        <f>wyniki!N187</f>
        <v>0</v>
      </c>
      <c r="D156">
        <v>1.5499999999999999E-3</v>
      </c>
      <c r="E156">
        <f t="shared" si="8"/>
        <v>1.5499999999999999E-3</v>
      </c>
      <c r="F156">
        <f>wyniki!$A$182</f>
        <v>0</v>
      </c>
      <c r="G156">
        <f>wyniki!B187</f>
        <v>0</v>
      </c>
      <c r="J156" s="79">
        <f t="shared" si="9"/>
        <v>0</v>
      </c>
      <c r="K156" s="69">
        <f>LARGE($E$2:$E$241,155)</f>
        <v>1.6199999999999999E-3</v>
      </c>
      <c r="L156" s="59">
        <f t="shared" si="11"/>
        <v>162</v>
      </c>
      <c r="M156" s="90">
        <f t="shared" si="10"/>
        <v>0</v>
      </c>
      <c r="N156" s="37">
        <v>155</v>
      </c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</row>
    <row r="157" spans="3:34" ht="17.25" thickTop="1" thickBot="1">
      <c r="C157">
        <f>wyniki!N188</f>
        <v>0</v>
      </c>
      <c r="D157">
        <v>1.56E-3</v>
      </c>
      <c r="E157">
        <f t="shared" si="8"/>
        <v>1.56E-3</v>
      </c>
      <c r="F157">
        <f>wyniki!$A$182</f>
        <v>0</v>
      </c>
      <c r="G157">
        <f>wyniki!B188</f>
        <v>0</v>
      </c>
      <c r="J157" s="79">
        <f t="shared" si="9"/>
        <v>0</v>
      </c>
      <c r="K157" s="69">
        <f>LARGE($E$2:$E$241,156)</f>
        <v>1.6100000000000001E-3</v>
      </c>
      <c r="L157" s="59">
        <f t="shared" si="11"/>
        <v>161</v>
      </c>
      <c r="M157" s="90">
        <f t="shared" si="10"/>
        <v>0</v>
      </c>
      <c r="N157" s="37">
        <v>156</v>
      </c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</row>
    <row r="158" spans="3:34" ht="17.25" thickTop="1" thickBot="1">
      <c r="C158">
        <f>wyniki!N190</f>
        <v>0</v>
      </c>
      <c r="D158">
        <v>1.57E-3</v>
      </c>
      <c r="E158">
        <f t="shared" si="8"/>
        <v>1.57E-3</v>
      </c>
      <c r="F158">
        <f>wyniki!$A$189</f>
        <v>0</v>
      </c>
      <c r="G158">
        <f>wyniki!B190</f>
        <v>0</v>
      </c>
      <c r="J158" s="79">
        <f t="shared" si="9"/>
        <v>0</v>
      </c>
      <c r="K158" s="69">
        <f>LARGE($E$2:$E$241,157)</f>
        <v>1.6000000000000001E-3</v>
      </c>
      <c r="L158" s="59">
        <f t="shared" si="11"/>
        <v>160</v>
      </c>
      <c r="M158" s="90">
        <f t="shared" si="10"/>
        <v>0</v>
      </c>
      <c r="N158" s="37">
        <v>157</v>
      </c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</row>
    <row r="159" spans="3:34" ht="17.25" thickTop="1" thickBot="1">
      <c r="C159">
        <f>wyniki!N191</f>
        <v>0</v>
      </c>
      <c r="D159">
        <v>1.58E-3</v>
      </c>
      <c r="E159">
        <f t="shared" si="8"/>
        <v>1.58E-3</v>
      </c>
      <c r="F159">
        <f>wyniki!$A$189</f>
        <v>0</v>
      </c>
      <c r="G159">
        <f>wyniki!B191</f>
        <v>0</v>
      </c>
      <c r="J159" s="79">
        <f t="shared" si="9"/>
        <v>0</v>
      </c>
      <c r="K159" s="69">
        <f>LARGE($E$2:$E$241,158)</f>
        <v>1.5900000000000001E-3</v>
      </c>
      <c r="L159" s="59">
        <f t="shared" si="11"/>
        <v>159</v>
      </c>
      <c r="M159" s="90">
        <f t="shared" si="10"/>
        <v>0</v>
      </c>
      <c r="N159" s="37">
        <v>158</v>
      </c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</row>
    <row r="160" spans="3:34" ht="17.25" thickTop="1" thickBot="1">
      <c r="C160">
        <f>wyniki!N192</f>
        <v>0</v>
      </c>
      <c r="D160">
        <v>1.5900000000000001E-3</v>
      </c>
      <c r="E160">
        <f t="shared" si="8"/>
        <v>1.5900000000000001E-3</v>
      </c>
      <c r="F160">
        <f>wyniki!$A$189</f>
        <v>0</v>
      </c>
      <c r="G160">
        <f>wyniki!B192</f>
        <v>0</v>
      </c>
      <c r="J160" s="79">
        <f t="shared" si="9"/>
        <v>0</v>
      </c>
      <c r="K160" s="69">
        <f>LARGE($E$2:$E$241,159)</f>
        <v>1.58E-3</v>
      </c>
      <c r="L160" s="59">
        <f t="shared" si="11"/>
        <v>158</v>
      </c>
      <c r="M160" s="90">
        <f t="shared" si="10"/>
        <v>0</v>
      </c>
      <c r="N160" s="37">
        <v>159</v>
      </c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</row>
    <row r="161" spans="3:34" ht="17.25" thickTop="1" thickBot="1">
      <c r="C161">
        <f>wyniki!N193</f>
        <v>0</v>
      </c>
      <c r="D161">
        <v>1.6000000000000001E-3</v>
      </c>
      <c r="E161">
        <f t="shared" si="8"/>
        <v>1.6000000000000001E-3</v>
      </c>
      <c r="F161">
        <f>wyniki!$A$189</f>
        <v>0</v>
      </c>
      <c r="G161">
        <f>wyniki!B193</f>
        <v>0</v>
      </c>
      <c r="J161" s="79">
        <f t="shared" si="9"/>
        <v>0</v>
      </c>
      <c r="K161" s="69">
        <f>LARGE($E$2:$E$241,160)</f>
        <v>1.57E-3</v>
      </c>
      <c r="L161" s="59">
        <f t="shared" si="11"/>
        <v>157</v>
      </c>
      <c r="M161" s="90">
        <f t="shared" si="10"/>
        <v>0</v>
      </c>
      <c r="N161" s="37">
        <v>160</v>
      </c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</row>
    <row r="162" spans="3:34" ht="17.25" thickTop="1" thickBot="1">
      <c r="C162">
        <f>wyniki!N194</f>
        <v>0</v>
      </c>
      <c r="D162">
        <v>1.6100000000000001E-3</v>
      </c>
      <c r="E162">
        <f t="shared" si="8"/>
        <v>1.6100000000000001E-3</v>
      </c>
      <c r="F162">
        <f>wyniki!$A$189</f>
        <v>0</v>
      </c>
      <c r="G162">
        <f>wyniki!B194</f>
        <v>0</v>
      </c>
      <c r="J162" s="79">
        <f t="shared" si="9"/>
        <v>0</v>
      </c>
      <c r="K162" s="69">
        <f>LARGE($E$2:$E$241,161)</f>
        <v>1.56E-3</v>
      </c>
      <c r="L162" s="59">
        <f t="shared" si="11"/>
        <v>156</v>
      </c>
      <c r="M162" s="90">
        <f t="shared" si="10"/>
        <v>0</v>
      </c>
      <c r="N162" s="37">
        <v>161</v>
      </c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</row>
    <row r="163" spans="3:34" ht="17.25" thickTop="1" thickBot="1">
      <c r="C163">
        <f>wyniki!N195</f>
        <v>0</v>
      </c>
      <c r="D163">
        <v>1.6199999999999999E-3</v>
      </c>
      <c r="E163">
        <f t="shared" si="8"/>
        <v>1.6199999999999999E-3</v>
      </c>
      <c r="F163">
        <f>wyniki!$A$189</f>
        <v>0</v>
      </c>
      <c r="G163">
        <f>wyniki!B195</f>
        <v>0</v>
      </c>
      <c r="J163" s="79">
        <f t="shared" si="9"/>
        <v>0</v>
      </c>
      <c r="K163" s="69">
        <f>LARGE($E$2:$E$241,162)</f>
        <v>1.5499999999999999E-3</v>
      </c>
      <c r="L163" s="59">
        <f t="shared" si="11"/>
        <v>155</v>
      </c>
      <c r="M163" s="90">
        <f t="shared" si="10"/>
        <v>0</v>
      </c>
      <c r="N163" s="37">
        <v>162</v>
      </c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</row>
    <row r="164" spans="3:34" ht="17.25" thickTop="1" thickBot="1">
      <c r="C164">
        <f>wyniki!N197</f>
        <v>0</v>
      </c>
      <c r="D164">
        <v>1.6299999999999999E-3</v>
      </c>
      <c r="E164">
        <f t="shared" si="8"/>
        <v>1.6299999999999999E-3</v>
      </c>
      <c r="F164">
        <f>wyniki!$A$196</f>
        <v>0</v>
      </c>
      <c r="G164">
        <f>wyniki!B197</f>
        <v>0</v>
      </c>
      <c r="J164" s="79">
        <f t="shared" si="9"/>
        <v>0</v>
      </c>
      <c r="K164" s="69">
        <f>LARGE($E$2:$E$241,163)</f>
        <v>1.5399999999999999E-3</v>
      </c>
      <c r="L164" s="59">
        <f t="shared" si="11"/>
        <v>154</v>
      </c>
      <c r="M164" s="90">
        <f t="shared" si="10"/>
        <v>0</v>
      </c>
      <c r="N164" s="37">
        <v>163</v>
      </c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</row>
    <row r="165" spans="3:34" ht="17.25" thickTop="1" thickBot="1">
      <c r="C165">
        <f>wyniki!N198</f>
        <v>0</v>
      </c>
      <c r="D165">
        <v>1.64E-3</v>
      </c>
      <c r="E165">
        <f t="shared" si="8"/>
        <v>1.64E-3</v>
      </c>
      <c r="F165">
        <f>wyniki!$A$196</f>
        <v>0</v>
      </c>
      <c r="G165">
        <f>wyniki!B198</f>
        <v>0</v>
      </c>
      <c r="J165" s="79">
        <f t="shared" si="9"/>
        <v>0</v>
      </c>
      <c r="K165" s="69">
        <f>LARGE($E$2:$E$241,164)</f>
        <v>1.5299999999999999E-3</v>
      </c>
      <c r="L165" s="59">
        <f t="shared" si="11"/>
        <v>153</v>
      </c>
      <c r="M165" s="90">
        <f t="shared" si="10"/>
        <v>0</v>
      </c>
      <c r="N165" s="37">
        <v>164</v>
      </c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</row>
    <row r="166" spans="3:34" ht="17.25" thickTop="1" thickBot="1">
      <c r="C166">
        <f>wyniki!N199</f>
        <v>0</v>
      </c>
      <c r="D166">
        <v>1.65E-3</v>
      </c>
      <c r="E166">
        <f t="shared" si="8"/>
        <v>1.65E-3</v>
      </c>
      <c r="F166">
        <f>wyniki!$A$196</f>
        <v>0</v>
      </c>
      <c r="G166">
        <f>wyniki!B199</f>
        <v>0</v>
      </c>
      <c r="J166" s="79">
        <f t="shared" si="9"/>
        <v>0</v>
      </c>
      <c r="K166" s="69">
        <f>LARGE($E$2:$E$241,165)</f>
        <v>1.5200000000000001E-3</v>
      </c>
      <c r="L166" s="59">
        <f t="shared" si="11"/>
        <v>152</v>
      </c>
      <c r="M166" s="90">
        <f t="shared" si="10"/>
        <v>0</v>
      </c>
      <c r="N166" s="37">
        <v>165</v>
      </c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</row>
    <row r="167" spans="3:34" ht="17.25" thickTop="1" thickBot="1">
      <c r="C167">
        <f>wyniki!N200</f>
        <v>0</v>
      </c>
      <c r="D167">
        <v>1.66E-3</v>
      </c>
      <c r="E167">
        <f t="shared" si="8"/>
        <v>1.66E-3</v>
      </c>
      <c r="F167">
        <f>wyniki!$A$196</f>
        <v>0</v>
      </c>
      <c r="G167">
        <f>wyniki!B200</f>
        <v>0</v>
      </c>
      <c r="J167" s="79">
        <f t="shared" si="9"/>
        <v>0</v>
      </c>
      <c r="K167" s="69">
        <f>LARGE($E$2:$E$241,166)</f>
        <v>1.5100000000000001E-3</v>
      </c>
      <c r="L167" s="59">
        <f t="shared" si="11"/>
        <v>151</v>
      </c>
      <c r="M167" s="90">
        <f t="shared" si="10"/>
        <v>0</v>
      </c>
      <c r="N167" s="37">
        <v>166</v>
      </c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</row>
    <row r="168" spans="3:34" ht="17.25" thickTop="1" thickBot="1">
      <c r="C168">
        <f>wyniki!N201</f>
        <v>0</v>
      </c>
      <c r="D168">
        <v>1.67E-3</v>
      </c>
      <c r="E168">
        <f t="shared" si="8"/>
        <v>1.67E-3</v>
      </c>
      <c r="F168">
        <f>wyniki!$A$196</f>
        <v>0</v>
      </c>
      <c r="G168">
        <f>wyniki!B201</f>
        <v>0</v>
      </c>
      <c r="J168" s="79">
        <f t="shared" si="9"/>
        <v>0</v>
      </c>
      <c r="K168" s="69">
        <f>LARGE($E$2:$E$241,167)</f>
        <v>1.5E-3</v>
      </c>
      <c r="L168" s="59">
        <f t="shared" si="11"/>
        <v>150</v>
      </c>
      <c r="M168" s="90">
        <f t="shared" si="10"/>
        <v>0</v>
      </c>
      <c r="N168" s="37">
        <v>167</v>
      </c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</row>
    <row r="169" spans="3:34" ht="17.25" thickTop="1" thickBot="1">
      <c r="C169">
        <f>wyniki!N202</f>
        <v>0</v>
      </c>
      <c r="D169">
        <v>1.6800000000000001E-3</v>
      </c>
      <c r="E169">
        <f t="shared" si="8"/>
        <v>1.6800000000000001E-3</v>
      </c>
      <c r="F169">
        <f>wyniki!$A$196</f>
        <v>0</v>
      </c>
      <c r="G169">
        <f>wyniki!B202</f>
        <v>0</v>
      </c>
      <c r="J169" s="79">
        <f t="shared" si="9"/>
        <v>0</v>
      </c>
      <c r="K169" s="69">
        <f>LARGE($E$2:$E$241,168)</f>
        <v>1.49E-3</v>
      </c>
      <c r="L169" s="59">
        <f t="shared" si="11"/>
        <v>149</v>
      </c>
      <c r="M169" s="90">
        <f t="shared" si="10"/>
        <v>0</v>
      </c>
      <c r="N169" s="37">
        <v>168</v>
      </c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</row>
    <row r="170" spans="3:34" ht="17.25" thickTop="1" thickBot="1">
      <c r="C170">
        <f>wyniki!N204</f>
        <v>0</v>
      </c>
      <c r="D170">
        <v>1.6900000000000001E-3</v>
      </c>
      <c r="E170">
        <f t="shared" si="8"/>
        <v>1.6900000000000001E-3</v>
      </c>
      <c r="F170">
        <f>wyniki!$A$203</f>
        <v>0</v>
      </c>
      <c r="G170">
        <f>wyniki!B204</f>
        <v>0</v>
      </c>
      <c r="J170" s="79">
        <f t="shared" si="9"/>
        <v>0</v>
      </c>
      <c r="K170" s="69">
        <f>LARGE($E$2:$E$241,169)</f>
        <v>1.48E-3</v>
      </c>
      <c r="L170" s="59">
        <f t="shared" si="11"/>
        <v>148</v>
      </c>
      <c r="M170" s="90">
        <f t="shared" si="10"/>
        <v>0</v>
      </c>
      <c r="N170" s="37">
        <v>169</v>
      </c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</row>
    <row r="171" spans="3:34" ht="17.25" thickTop="1" thickBot="1">
      <c r="C171">
        <f>wyniki!N205</f>
        <v>0</v>
      </c>
      <c r="D171">
        <v>1.6999999999999999E-3</v>
      </c>
      <c r="E171">
        <f t="shared" si="8"/>
        <v>1.6999999999999999E-3</v>
      </c>
      <c r="F171">
        <f>wyniki!$A$203</f>
        <v>0</v>
      </c>
      <c r="G171">
        <f>wyniki!B205</f>
        <v>0</v>
      </c>
      <c r="J171" s="79">
        <f t="shared" si="9"/>
        <v>0</v>
      </c>
      <c r="K171" s="69">
        <f>LARGE($E$2:$E$241,170)</f>
        <v>1.47E-3</v>
      </c>
      <c r="L171" s="59">
        <f t="shared" si="11"/>
        <v>147</v>
      </c>
      <c r="M171" s="90">
        <f t="shared" si="10"/>
        <v>0</v>
      </c>
      <c r="N171" s="37">
        <v>170</v>
      </c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</row>
    <row r="172" spans="3:34" ht="17.25" thickTop="1" thickBot="1">
      <c r="C172">
        <f>wyniki!N206</f>
        <v>0</v>
      </c>
      <c r="D172">
        <v>1.7099999999999999E-3</v>
      </c>
      <c r="E172">
        <f t="shared" si="8"/>
        <v>1.7099999999999999E-3</v>
      </c>
      <c r="F172">
        <f>wyniki!$A$203</f>
        <v>0</v>
      </c>
      <c r="G172">
        <f>wyniki!B206</f>
        <v>0</v>
      </c>
      <c r="J172" s="79">
        <f t="shared" si="9"/>
        <v>0</v>
      </c>
      <c r="K172" s="69">
        <f>LARGE($E$2:$E$241,171)</f>
        <v>1.4599999999999999E-3</v>
      </c>
      <c r="L172" s="59">
        <f t="shared" si="11"/>
        <v>146</v>
      </c>
      <c r="M172" s="90">
        <f t="shared" si="10"/>
        <v>0</v>
      </c>
      <c r="N172" s="37">
        <v>171</v>
      </c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</row>
    <row r="173" spans="3:34" ht="17.25" thickTop="1" thickBot="1">
      <c r="C173">
        <f>wyniki!N207</f>
        <v>0</v>
      </c>
      <c r="D173">
        <v>1.72E-3</v>
      </c>
      <c r="E173">
        <f t="shared" si="8"/>
        <v>1.72E-3</v>
      </c>
      <c r="F173">
        <f>wyniki!$A$203</f>
        <v>0</v>
      </c>
      <c r="G173">
        <f>wyniki!B207</f>
        <v>0</v>
      </c>
      <c r="J173" s="79">
        <f t="shared" si="9"/>
        <v>0</v>
      </c>
      <c r="K173" s="69">
        <f>LARGE($E$2:$E$241,172)</f>
        <v>1.4499999999999999E-3</v>
      </c>
      <c r="L173" s="59">
        <f t="shared" si="11"/>
        <v>145</v>
      </c>
      <c r="M173" s="90">
        <f t="shared" si="10"/>
        <v>0</v>
      </c>
      <c r="N173" s="37">
        <v>172</v>
      </c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</row>
    <row r="174" spans="3:34" ht="17.25" thickTop="1" thickBot="1">
      <c r="C174">
        <f>wyniki!N208</f>
        <v>0</v>
      </c>
      <c r="D174">
        <v>1.73E-3</v>
      </c>
      <c r="E174">
        <f t="shared" si="8"/>
        <v>1.73E-3</v>
      </c>
      <c r="F174">
        <f>wyniki!$A$203</f>
        <v>0</v>
      </c>
      <c r="G174">
        <f>wyniki!B208</f>
        <v>0</v>
      </c>
      <c r="J174" s="79">
        <f t="shared" si="9"/>
        <v>0</v>
      </c>
      <c r="K174" s="69">
        <f>LARGE($E$2:$E$241,173)</f>
        <v>1.4400000000000001E-3</v>
      </c>
      <c r="L174" s="59">
        <f t="shared" si="11"/>
        <v>144</v>
      </c>
      <c r="M174" s="90">
        <f t="shared" si="10"/>
        <v>0</v>
      </c>
      <c r="N174" s="37">
        <v>173</v>
      </c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</row>
    <row r="175" spans="3:34" ht="17.25" thickTop="1" thickBot="1">
      <c r="C175">
        <f>wyniki!N209</f>
        <v>0</v>
      </c>
      <c r="D175">
        <v>1.74E-3</v>
      </c>
      <c r="E175">
        <f t="shared" si="8"/>
        <v>1.74E-3</v>
      </c>
      <c r="F175">
        <f>wyniki!$A$203</f>
        <v>0</v>
      </c>
      <c r="G175">
        <f>wyniki!B209</f>
        <v>0</v>
      </c>
      <c r="J175" s="79">
        <f t="shared" si="9"/>
        <v>0</v>
      </c>
      <c r="K175" s="69">
        <f>LARGE($E$2:$E$241,174)</f>
        <v>1.4300000000000001E-3</v>
      </c>
      <c r="L175" s="59">
        <f t="shared" si="11"/>
        <v>143</v>
      </c>
      <c r="M175" s="90">
        <f t="shared" si="10"/>
        <v>0</v>
      </c>
      <c r="N175" s="37">
        <v>174</v>
      </c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</row>
    <row r="176" spans="3:34" ht="17.25" thickTop="1" thickBot="1">
      <c r="C176">
        <f>wyniki!N211</f>
        <v>0</v>
      </c>
      <c r="D176">
        <v>1.75E-3</v>
      </c>
      <c r="E176">
        <f t="shared" si="8"/>
        <v>1.75E-3</v>
      </c>
      <c r="F176">
        <f>wyniki!$A$210</f>
        <v>0</v>
      </c>
      <c r="G176">
        <f>wyniki!B211</f>
        <v>0</v>
      </c>
      <c r="J176" s="79">
        <f t="shared" si="9"/>
        <v>0</v>
      </c>
      <c r="K176" s="69">
        <f>LARGE($E$2:$E$241,175)</f>
        <v>1.42E-3</v>
      </c>
      <c r="L176" s="59">
        <f t="shared" si="11"/>
        <v>142</v>
      </c>
      <c r="M176" s="90">
        <f t="shared" si="10"/>
        <v>0</v>
      </c>
      <c r="N176" s="37">
        <v>175</v>
      </c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</row>
    <row r="177" spans="3:34" ht="17.25" thickTop="1" thickBot="1">
      <c r="C177">
        <f>wyniki!N212</f>
        <v>0</v>
      </c>
      <c r="D177">
        <v>1.7600000000000001E-3</v>
      </c>
      <c r="E177">
        <f t="shared" si="8"/>
        <v>1.7600000000000001E-3</v>
      </c>
      <c r="F177">
        <f>wyniki!$A$210</f>
        <v>0</v>
      </c>
      <c r="G177">
        <f>wyniki!B212</f>
        <v>0</v>
      </c>
      <c r="J177" s="79">
        <f t="shared" si="9"/>
        <v>0</v>
      </c>
      <c r="K177" s="69">
        <f>LARGE($E$2:$E$241,176)</f>
        <v>1.41E-3</v>
      </c>
      <c r="L177" s="59">
        <f t="shared" si="11"/>
        <v>141</v>
      </c>
      <c r="M177" s="90">
        <f t="shared" si="10"/>
        <v>0</v>
      </c>
      <c r="N177" s="37">
        <v>176</v>
      </c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</row>
    <row r="178" spans="3:34" ht="17.25" thickTop="1" thickBot="1">
      <c r="C178">
        <f>wyniki!N213</f>
        <v>0</v>
      </c>
      <c r="D178">
        <v>1.7700000000000001E-3</v>
      </c>
      <c r="E178">
        <f t="shared" si="8"/>
        <v>1.7700000000000001E-3</v>
      </c>
      <c r="F178">
        <f>wyniki!$A$210</f>
        <v>0</v>
      </c>
      <c r="G178">
        <f>wyniki!B213</f>
        <v>0</v>
      </c>
      <c r="J178" s="79">
        <f t="shared" si="9"/>
        <v>0</v>
      </c>
      <c r="K178" s="69">
        <f>LARGE($E$2:$E$241,177)</f>
        <v>1.4E-3</v>
      </c>
      <c r="L178" s="59">
        <f t="shared" si="11"/>
        <v>140</v>
      </c>
      <c r="M178" s="90">
        <f t="shared" si="10"/>
        <v>0</v>
      </c>
      <c r="N178" s="37">
        <v>177</v>
      </c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</row>
    <row r="179" spans="3:34" ht="17.25" thickTop="1" thickBot="1">
      <c r="C179">
        <f>wyniki!N214</f>
        <v>0</v>
      </c>
      <c r="D179">
        <v>1.7799999999999999E-3</v>
      </c>
      <c r="E179">
        <f t="shared" si="8"/>
        <v>1.7799999999999999E-3</v>
      </c>
      <c r="F179">
        <f>wyniki!$A$210</f>
        <v>0</v>
      </c>
      <c r="G179">
        <f>wyniki!B214</f>
        <v>0</v>
      </c>
      <c r="J179" s="79">
        <f t="shared" si="9"/>
        <v>0</v>
      </c>
      <c r="K179" s="69">
        <f>LARGE($E$2:$E$241,178)</f>
        <v>1.39E-3</v>
      </c>
      <c r="L179" s="59">
        <f t="shared" si="11"/>
        <v>139</v>
      </c>
      <c r="M179" s="90">
        <f t="shared" si="10"/>
        <v>0</v>
      </c>
      <c r="N179" s="37">
        <v>178</v>
      </c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</row>
    <row r="180" spans="3:34" ht="17.25" thickTop="1" thickBot="1">
      <c r="C180">
        <f>wyniki!N215</f>
        <v>0</v>
      </c>
      <c r="D180">
        <v>1.7899999999999999E-3</v>
      </c>
      <c r="E180">
        <f t="shared" si="8"/>
        <v>1.7899999999999999E-3</v>
      </c>
      <c r="F180">
        <f>wyniki!$A$210</f>
        <v>0</v>
      </c>
      <c r="G180">
        <f>wyniki!B215</f>
        <v>0</v>
      </c>
      <c r="J180" s="79">
        <f t="shared" si="9"/>
        <v>0</v>
      </c>
      <c r="K180" s="69">
        <f>LARGE($E$2:$E$241,179)</f>
        <v>1.3799999999999999E-3</v>
      </c>
      <c r="L180" s="59">
        <f t="shared" si="11"/>
        <v>138</v>
      </c>
      <c r="M180" s="90">
        <f t="shared" si="10"/>
        <v>0</v>
      </c>
      <c r="N180" s="37">
        <v>179</v>
      </c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</row>
    <row r="181" spans="3:34" ht="17.25" thickTop="1" thickBot="1">
      <c r="C181">
        <f>wyniki!N216</f>
        <v>0</v>
      </c>
      <c r="D181">
        <v>1.8E-3</v>
      </c>
      <c r="E181">
        <f t="shared" si="8"/>
        <v>1.8E-3</v>
      </c>
      <c r="F181">
        <f>wyniki!$A$210</f>
        <v>0</v>
      </c>
      <c r="G181">
        <f>wyniki!B216</f>
        <v>0</v>
      </c>
      <c r="J181" s="79">
        <f t="shared" si="9"/>
        <v>0</v>
      </c>
      <c r="K181" s="69">
        <f>LARGE($E$2:$E$241,180)</f>
        <v>1.3699999999999999E-3</v>
      </c>
      <c r="L181" s="59">
        <f t="shared" si="11"/>
        <v>137</v>
      </c>
      <c r="M181" s="90">
        <f t="shared" si="10"/>
        <v>0</v>
      </c>
      <c r="N181" s="37">
        <v>180</v>
      </c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</row>
    <row r="182" spans="3:34" ht="17.25" thickTop="1" thickBot="1">
      <c r="C182">
        <f>wyniki!N218</f>
        <v>0</v>
      </c>
      <c r="D182">
        <v>1.81E-3</v>
      </c>
      <c r="E182">
        <f t="shared" si="8"/>
        <v>1.81E-3</v>
      </c>
      <c r="F182">
        <f>wyniki!$A$217</f>
        <v>0</v>
      </c>
      <c r="G182">
        <f>wyniki!B218</f>
        <v>0</v>
      </c>
      <c r="J182" s="79">
        <f t="shared" si="9"/>
        <v>0</v>
      </c>
      <c r="K182" s="69">
        <f>LARGE($E$2:$E$241,181)</f>
        <v>1.3600000000000001E-3</v>
      </c>
      <c r="L182" s="59">
        <f t="shared" si="11"/>
        <v>136</v>
      </c>
      <c r="M182" s="90">
        <f t="shared" si="10"/>
        <v>0</v>
      </c>
      <c r="N182" s="37">
        <v>181</v>
      </c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</row>
    <row r="183" spans="3:34" ht="17.25" thickTop="1" thickBot="1">
      <c r="C183">
        <f>wyniki!N219</f>
        <v>0</v>
      </c>
      <c r="D183">
        <v>1.82E-3</v>
      </c>
      <c r="E183">
        <f t="shared" si="8"/>
        <v>1.82E-3</v>
      </c>
      <c r="F183">
        <f>wyniki!$A$217</f>
        <v>0</v>
      </c>
      <c r="G183">
        <f>wyniki!B219</f>
        <v>0</v>
      </c>
      <c r="J183" s="79">
        <f t="shared" si="9"/>
        <v>0</v>
      </c>
      <c r="K183" s="69">
        <f>LARGE($E$2:$E$241,182)</f>
        <v>1.3500000000000001E-3</v>
      </c>
      <c r="L183" s="59">
        <f t="shared" si="11"/>
        <v>135</v>
      </c>
      <c r="M183" s="90">
        <f t="shared" si="10"/>
        <v>0</v>
      </c>
      <c r="N183" s="37">
        <v>182</v>
      </c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</row>
    <row r="184" spans="3:34" ht="17.25" thickTop="1" thickBot="1">
      <c r="C184">
        <f>wyniki!N220</f>
        <v>0</v>
      </c>
      <c r="D184">
        <v>1.83E-3</v>
      </c>
      <c r="E184">
        <f t="shared" si="8"/>
        <v>1.83E-3</v>
      </c>
      <c r="F184">
        <f>wyniki!$A$217</f>
        <v>0</v>
      </c>
      <c r="G184">
        <f>wyniki!B220</f>
        <v>0</v>
      </c>
      <c r="J184" s="79">
        <f t="shared" si="9"/>
        <v>0</v>
      </c>
      <c r="K184" s="69">
        <f>LARGE($E$2:$E$241,183)</f>
        <v>1.34E-3</v>
      </c>
      <c r="L184" s="59">
        <f t="shared" si="11"/>
        <v>134</v>
      </c>
      <c r="M184" s="90">
        <f t="shared" si="10"/>
        <v>0</v>
      </c>
      <c r="N184" s="37">
        <v>183</v>
      </c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</row>
    <row r="185" spans="3:34" ht="17.25" thickTop="1" thickBot="1">
      <c r="C185">
        <f>wyniki!N221</f>
        <v>0</v>
      </c>
      <c r="D185">
        <v>1.8400000000000001E-3</v>
      </c>
      <c r="E185">
        <f t="shared" si="8"/>
        <v>1.8400000000000001E-3</v>
      </c>
      <c r="F185">
        <f>wyniki!$A$217</f>
        <v>0</v>
      </c>
      <c r="G185">
        <f>wyniki!B221</f>
        <v>0</v>
      </c>
      <c r="J185" s="79">
        <f t="shared" si="9"/>
        <v>0</v>
      </c>
      <c r="K185" s="69">
        <f>LARGE($E$2:$E$241,184)</f>
        <v>1.33E-3</v>
      </c>
      <c r="L185" s="59">
        <f t="shared" si="11"/>
        <v>133</v>
      </c>
      <c r="M185" s="90">
        <f t="shared" si="10"/>
        <v>0</v>
      </c>
      <c r="N185" s="37">
        <v>184</v>
      </c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</row>
    <row r="186" spans="3:34" ht="17.25" thickTop="1" thickBot="1">
      <c r="C186">
        <f>wyniki!N222</f>
        <v>0</v>
      </c>
      <c r="D186">
        <v>1.8500000000000001E-3</v>
      </c>
      <c r="E186">
        <f t="shared" si="8"/>
        <v>1.8500000000000001E-3</v>
      </c>
      <c r="F186">
        <f>wyniki!$A$217</f>
        <v>0</v>
      </c>
      <c r="G186">
        <f>wyniki!B222</f>
        <v>0</v>
      </c>
      <c r="J186" s="79">
        <f t="shared" si="9"/>
        <v>0</v>
      </c>
      <c r="K186" s="69">
        <f>LARGE($E$2:$E$241,185)</f>
        <v>1.32E-3</v>
      </c>
      <c r="L186" s="59">
        <f t="shared" si="11"/>
        <v>132</v>
      </c>
      <c r="M186" s="90">
        <f t="shared" si="10"/>
        <v>0</v>
      </c>
      <c r="N186" s="37">
        <v>185</v>
      </c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</row>
    <row r="187" spans="3:34" ht="17.25" thickTop="1" thickBot="1">
      <c r="C187">
        <f>wyniki!N223</f>
        <v>0</v>
      </c>
      <c r="D187">
        <v>1.8600000000000001E-3</v>
      </c>
      <c r="E187">
        <f t="shared" si="8"/>
        <v>1.8600000000000001E-3</v>
      </c>
      <c r="F187">
        <f>wyniki!$A$217</f>
        <v>0</v>
      </c>
      <c r="G187">
        <f>wyniki!B223</f>
        <v>0</v>
      </c>
      <c r="J187" s="79">
        <f t="shared" si="9"/>
        <v>0</v>
      </c>
      <c r="K187" s="69">
        <f>LARGE($E$2:$E$241,186)</f>
        <v>1.31E-3</v>
      </c>
      <c r="L187" s="59">
        <f t="shared" si="11"/>
        <v>131</v>
      </c>
      <c r="M187" s="90">
        <f t="shared" si="10"/>
        <v>0</v>
      </c>
      <c r="N187" s="37">
        <v>186</v>
      </c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</row>
    <row r="188" spans="3:34" ht="17.25" thickTop="1" thickBot="1">
      <c r="C188">
        <f>wyniki!N225</f>
        <v>0</v>
      </c>
      <c r="D188">
        <v>1.8699999999999999E-3</v>
      </c>
      <c r="E188">
        <f t="shared" si="8"/>
        <v>1.8699999999999999E-3</v>
      </c>
      <c r="F188">
        <f>wyniki!$A$224</f>
        <v>0</v>
      </c>
      <c r="G188">
        <f>wyniki!B225</f>
        <v>0</v>
      </c>
      <c r="J188" s="79">
        <f t="shared" si="9"/>
        <v>0</v>
      </c>
      <c r="K188" s="69">
        <f>LARGE($E$2:$E$241,187)</f>
        <v>1.2999999999999999E-3</v>
      </c>
      <c r="L188" s="59">
        <f t="shared" si="11"/>
        <v>130</v>
      </c>
      <c r="M188" s="90">
        <f t="shared" si="10"/>
        <v>0</v>
      </c>
      <c r="N188" s="37">
        <v>187</v>
      </c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</row>
    <row r="189" spans="3:34" ht="17.25" thickTop="1" thickBot="1">
      <c r="C189">
        <f>wyniki!N226</f>
        <v>0</v>
      </c>
      <c r="D189">
        <v>1.8799999999999999E-3</v>
      </c>
      <c r="E189">
        <f t="shared" si="8"/>
        <v>1.8799999999999999E-3</v>
      </c>
      <c r="F189">
        <f>wyniki!$A$224</f>
        <v>0</v>
      </c>
      <c r="G189">
        <f>wyniki!B226</f>
        <v>0</v>
      </c>
      <c r="J189" s="79">
        <f t="shared" si="9"/>
        <v>0</v>
      </c>
      <c r="K189" s="69">
        <f>LARGE($E$2:$E$241,188)</f>
        <v>1.2899999999999999E-3</v>
      </c>
      <c r="L189" s="59">
        <f t="shared" si="11"/>
        <v>129</v>
      </c>
      <c r="M189" s="90">
        <f t="shared" si="10"/>
        <v>0</v>
      </c>
      <c r="N189" s="37">
        <v>188</v>
      </c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</row>
    <row r="190" spans="3:34" ht="17.25" thickTop="1" thickBot="1">
      <c r="C190">
        <f>wyniki!N227</f>
        <v>0</v>
      </c>
      <c r="D190">
        <v>1.89E-3</v>
      </c>
      <c r="E190">
        <f t="shared" si="8"/>
        <v>1.89E-3</v>
      </c>
      <c r="F190">
        <f>wyniki!$A$224</f>
        <v>0</v>
      </c>
      <c r="G190">
        <f>wyniki!B227</f>
        <v>0</v>
      </c>
      <c r="J190" s="79">
        <f t="shared" si="9"/>
        <v>0</v>
      </c>
      <c r="K190" s="69">
        <f>LARGE($E$2:$E$241,189)</f>
        <v>1.2800000000000001E-3</v>
      </c>
      <c r="L190" s="59">
        <f t="shared" si="11"/>
        <v>128</v>
      </c>
      <c r="M190" s="90">
        <f t="shared" si="10"/>
        <v>0</v>
      </c>
      <c r="N190" s="37">
        <v>189</v>
      </c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</row>
    <row r="191" spans="3:34" ht="17.25" thickTop="1" thickBot="1">
      <c r="C191">
        <f>wyniki!N228</f>
        <v>0</v>
      </c>
      <c r="D191">
        <v>1.9E-3</v>
      </c>
      <c r="E191">
        <f t="shared" si="8"/>
        <v>1.9E-3</v>
      </c>
      <c r="F191">
        <f>wyniki!$A$224</f>
        <v>0</v>
      </c>
      <c r="G191">
        <f>wyniki!B228</f>
        <v>0</v>
      </c>
      <c r="J191" s="79">
        <f t="shared" si="9"/>
        <v>0</v>
      </c>
      <c r="K191" s="69">
        <f>LARGE($E$2:$E$241,190)</f>
        <v>1.2700000000000001E-3</v>
      </c>
      <c r="L191" s="59">
        <f t="shared" si="11"/>
        <v>127</v>
      </c>
      <c r="M191" s="90">
        <f t="shared" si="10"/>
        <v>0</v>
      </c>
      <c r="N191" s="37">
        <v>190</v>
      </c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</row>
    <row r="192" spans="3:34" ht="17.25" thickTop="1" thickBot="1">
      <c r="C192">
        <f>wyniki!N229</f>
        <v>0</v>
      </c>
      <c r="D192">
        <v>1.91E-3</v>
      </c>
      <c r="E192">
        <f t="shared" si="8"/>
        <v>1.91E-3</v>
      </c>
      <c r="F192">
        <f>wyniki!$A$224</f>
        <v>0</v>
      </c>
      <c r="G192">
        <f>wyniki!B229</f>
        <v>0</v>
      </c>
      <c r="J192" s="79">
        <f t="shared" si="9"/>
        <v>0</v>
      </c>
      <c r="K192" s="69">
        <f>LARGE($E$2:$E$241,191)</f>
        <v>1.2600000000000001E-3</v>
      </c>
      <c r="L192" s="59">
        <f t="shared" si="11"/>
        <v>126</v>
      </c>
      <c r="M192" s="90">
        <f t="shared" si="10"/>
        <v>0</v>
      </c>
      <c r="N192" s="37">
        <v>191</v>
      </c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</row>
    <row r="193" spans="3:34" ht="17.25" thickTop="1" thickBot="1">
      <c r="C193">
        <f>wyniki!N230</f>
        <v>0</v>
      </c>
      <c r="D193">
        <v>1.92E-3</v>
      </c>
      <c r="E193">
        <f t="shared" si="8"/>
        <v>1.92E-3</v>
      </c>
      <c r="F193">
        <f>wyniki!$A$224</f>
        <v>0</v>
      </c>
      <c r="G193">
        <f>wyniki!B230</f>
        <v>0</v>
      </c>
      <c r="J193" s="79">
        <f t="shared" si="9"/>
        <v>0</v>
      </c>
      <c r="K193" s="69">
        <f>LARGE($E$2:$E$241,192)</f>
        <v>1.25E-3</v>
      </c>
      <c r="L193" s="59">
        <f t="shared" si="11"/>
        <v>125</v>
      </c>
      <c r="M193" s="90">
        <f t="shared" si="10"/>
        <v>0</v>
      </c>
      <c r="N193" s="37">
        <v>192</v>
      </c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</row>
    <row r="194" spans="3:34" ht="17.25" thickTop="1" thickBot="1">
      <c r="C194">
        <f>wyniki!N232</f>
        <v>0</v>
      </c>
      <c r="D194">
        <v>1.9300000000000001E-3</v>
      </c>
      <c r="E194">
        <f t="shared" si="8"/>
        <v>1.9300000000000001E-3</v>
      </c>
      <c r="F194">
        <f>wyniki!$A$231</f>
        <v>0</v>
      </c>
      <c r="G194">
        <f>wyniki!B232</f>
        <v>0</v>
      </c>
      <c r="J194" s="79">
        <f t="shared" si="9"/>
        <v>0</v>
      </c>
      <c r="K194" s="69">
        <f>LARGE($E$2:$E$241,193)</f>
        <v>1.24E-3</v>
      </c>
      <c r="L194" s="59">
        <f t="shared" si="11"/>
        <v>124</v>
      </c>
      <c r="M194" s="90">
        <f t="shared" si="10"/>
        <v>0</v>
      </c>
      <c r="N194" s="37">
        <v>193</v>
      </c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</row>
    <row r="195" spans="3:34" ht="17.25" thickTop="1" thickBot="1">
      <c r="C195">
        <f>wyniki!N233</f>
        <v>0</v>
      </c>
      <c r="D195">
        <v>1.9400000000000001E-3</v>
      </c>
      <c r="E195">
        <f t="shared" ref="E195:E241" si="12">C195+D195</f>
        <v>1.9400000000000001E-3</v>
      </c>
      <c r="F195">
        <f>wyniki!$A$231</f>
        <v>0</v>
      </c>
      <c r="G195">
        <f>wyniki!B233</f>
        <v>0</v>
      </c>
      <c r="J195" s="79">
        <f t="shared" ref="J195:J241" si="13">INDEX($E$2:$G$241,L195,3)</f>
        <v>0</v>
      </c>
      <c r="K195" s="69">
        <f>LARGE($E$2:$E$241,194)</f>
        <v>1.23E-3</v>
      </c>
      <c r="L195" s="59">
        <f t="shared" si="11"/>
        <v>123</v>
      </c>
      <c r="M195" s="90">
        <f t="shared" ref="M195:M241" si="14">INDEX($E$2:$F$241,L195,2)</f>
        <v>0</v>
      </c>
      <c r="N195" s="37">
        <v>194</v>
      </c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</row>
    <row r="196" spans="3:34" ht="17.25" thickTop="1" thickBot="1">
      <c r="C196">
        <f>wyniki!N234</f>
        <v>0</v>
      </c>
      <c r="D196">
        <v>1.9499999999999999E-3</v>
      </c>
      <c r="E196">
        <f t="shared" si="12"/>
        <v>1.9499999999999999E-3</v>
      </c>
      <c r="F196">
        <f>wyniki!$A$231</f>
        <v>0</v>
      </c>
      <c r="G196">
        <f>wyniki!B234</f>
        <v>0</v>
      </c>
      <c r="J196" s="79">
        <f t="shared" si="13"/>
        <v>0</v>
      </c>
      <c r="K196" s="69">
        <f>LARGE($E$2:$E$241,195)</f>
        <v>1.2199999999999999E-3</v>
      </c>
      <c r="L196" s="59">
        <f t="shared" ref="L196:L241" si="15">MATCH(K196,$E$2:$E$241,0)</f>
        <v>122</v>
      </c>
      <c r="M196" s="90">
        <f t="shared" si="14"/>
        <v>0</v>
      </c>
      <c r="N196" s="37">
        <v>195</v>
      </c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</row>
    <row r="197" spans="3:34" ht="17.25" thickTop="1" thickBot="1">
      <c r="C197">
        <f>wyniki!N235</f>
        <v>0</v>
      </c>
      <c r="D197">
        <v>1.9599999999999999E-3</v>
      </c>
      <c r="E197">
        <f t="shared" si="12"/>
        <v>1.9599999999999999E-3</v>
      </c>
      <c r="F197">
        <f>wyniki!$A$231</f>
        <v>0</v>
      </c>
      <c r="G197">
        <f>wyniki!B235</f>
        <v>0</v>
      </c>
      <c r="J197" s="79">
        <f t="shared" si="13"/>
        <v>0</v>
      </c>
      <c r="K197" s="69">
        <f>LARGE($E$2:$E$241,196)</f>
        <v>1.2099999999999999E-3</v>
      </c>
      <c r="L197" s="59">
        <f t="shared" si="15"/>
        <v>121</v>
      </c>
      <c r="M197" s="90">
        <f t="shared" si="14"/>
        <v>0</v>
      </c>
      <c r="N197" s="37">
        <v>196</v>
      </c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</row>
    <row r="198" spans="3:34" ht="17.25" thickTop="1" thickBot="1">
      <c r="C198">
        <f>wyniki!N236</f>
        <v>0</v>
      </c>
      <c r="D198">
        <v>1.97E-3</v>
      </c>
      <c r="E198">
        <f t="shared" si="12"/>
        <v>1.97E-3</v>
      </c>
      <c r="F198">
        <f>wyniki!$A$231</f>
        <v>0</v>
      </c>
      <c r="G198">
        <f>wyniki!B236</f>
        <v>0</v>
      </c>
      <c r="J198" s="79">
        <f t="shared" si="13"/>
        <v>0</v>
      </c>
      <c r="K198" s="69">
        <f>LARGE($E$2:$E$241,197)</f>
        <v>1.1999999999999999E-3</v>
      </c>
      <c r="L198" s="59">
        <f t="shared" si="15"/>
        <v>120</v>
      </c>
      <c r="M198" s="90">
        <f t="shared" si="14"/>
        <v>0</v>
      </c>
      <c r="N198" s="37">
        <v>197</v>
      </c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</row>
    <row r="199" spans="3:34" ht="17.25" thickTop="1" thickBot="1">
      <c r="C199">
        <f>wyniki!N237</f>
        <v>0</v>
      </c>
      <c r="D199">
        <v>1.98E-3</v>
      </c>
      <c r="E199">
        <f t="shared" si="12"/>
        <v>1.98E-3</v>
      </c>
      <c r="F199">
        <f>wyniki!$A$231</f>
        <v>0</v>
      </c>
      <c r="G199">
        <f>wyniki!B237</f>
        <v>0</v>
      </c>
      <c r="J199" s="79">
        <f t="shared" si="13"/>
        <v>0</v>
      </c>
      <c r="K199" s="69">
        <f>LARGE($E$2:$E$241,198)</f>
        <v>1.1900000000000001E-3</v>
      </c>
      <c r="L199" s="59">
        <f t="shared" si="15"/>
        <v>119</v>
      </c>
      <c r="M199" s="90">
        <f t="shared" si="14"/>
        <v>0</v>
      </c>
      <c r="N199" s="37">
        <v>198</v>
      </c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</row>
    <row r="200" spans="3:34" ht="17.25" thickTop="1" thickBot="1">
      <c r="C200">
        <f>wyniki!N239</f>
        <v>0</v>
      </c>
      <c r="D200">
        <v>1.99E-3</v>
      </c>
      <c r="E200">
        <f t="shared" si="12"/>
        <v>1.99E-3</v>
      </c>
      <c r="F200">
        <f>wyniki!$A$238</f>
        <v>0</v>
      </c>
      <c r="G200">
        <f>wyniki!B239</f>
        <v>0</v>
      </c>
      <c r="J200" s="79">
        <f t="shared" si="13"/>
        <v>0</v>
      </c>
      <c r="K200" s="69">
        <f>LARGE($E$2:$E$241,199)</f>
        <v>1.1800000000000001E-3</v>
      </c>
      <c r="L200" s="59">
        <f t="shared" si="15"/>
        <v>118</v>
      </c>
      <c r="M200" s="90">
        <f t="shared" si="14"/>
        <v>0</v>
      </c>
      <c r="N200" s="37">
        <v>199</v>
      </c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</row>
    <row r="201" spans="3:34" ht="17.25" thickTop="1" thickBot="1">
      <c r="C201">
        <f>wyniki!N240</f>
        <v>0</v>
      </c>
      <c r="D201">
        <v>2E-3</v>
      </c>
      <c r="E201">
        <f t="shared" si="12"/>
        <v>2E-3</v>
      </c>
      <c r="F201">
        <f>wyniki!$A$238</f>
        <v>0</v>
      </c>
      <c r="G201">
        <f>wyniki!B240</f>
        <v>0</v>
      </c>
      <c r="J201" s="79">
        <f t="shared" si="13"/>
        <v>0</v>
      </c>
      <c r="K201" s="69">
        <f>LARGE($E$2:$E$241,200)</f>
        <v>1.17E-3</v>
      </c>
      <c r="L201" s="59">
        <f t="shared" si="15"/>
        <v>117</v>
      </c>
      <c r="M201" s="90">
        <f t="shared" si="14"/>
        <v>0</v>
      </c>
      <c r="N201" s="37">
        <v>200</v>
      </c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</row>
    <row r="202" spans="3:34" ht="17.25" thickTop="1" thickBot="1">
      <c r="C202">
        <f>wyniki!N241</f>
        <v>0</v>
      </c>
      <c r="D202">
        <v>2.0100000000000001E-3</v>
      </c>
      <c r="E202">
        <f t="shared" si="12"/>
        <v>2.0100000000000001E-3</v>
      </c>
      <c r="F202">
        <f>wyniki!$A$238</f>
        <v>0</v>
      </c>
      <c r="G202">
        <f>wyniki!B241</f>
        <v>0</v>
      </c>
      <c r="J202" s="79">
        <f t="shared" si="13"/>
        <v>0</v>
      </c>
      <c r="K202" s="69">
        <f>LARGE($E$2:$E$241,201)</f>
        <v>1.16E-3</v>
      </c>
      <c r="L202" s="59">
        <f t="shared" si="15"/>
        <v>116</v>
      </c>
      <c r="M202" s="90">
        <f t="shared" si="14"/>
        <v>0</v>
      </c>
      <c r="N202" s="37">
        <v>201</v>
      </c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</row>
    <row r="203" spans="3:34" ht="17.25" thickTop="1" thickBot="1">
      <c r="C203">
        <f>wyniki!N242</f>
        <v>0</v>
      </c>
      <c r="D203">
        <v>2.0200000000000001E-3</v>
      </c>
      <c r="E203">
        <f t="shared" si="12"/>
        <v>2.0200000000000001E-3</v>
      </c>
      <c r="F203">
        <f>wyniki!$A$238</f>
        <v>0</v>
      </c>
      <c r="G203">
        <f>wyniki!B242</f>
        <v>0</v>
      </c>
      <c r="J203" s="79">
        <f t="shared" si="13"/>
        <v>0</v>
      </c>
      <c r="K203" s="69">
        <f>LARGE($E$2:$E$241,202)</f>
        <v>1.15E-3</v>
      </c>
      <c r="L203" s="59">
        <f t="shared" si="15"/>
        <v>115</v>
      </c>
      <c r="M203" s="90">
        <f t="shared" si="14"/>
        <v>0</v>
      </c>
      <c r="N203" s="37">
        <v>202</v>
      </c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</row>
    <row r="204" spans="3:34" ht="17.25" thickTop="1" thickBot="1">
      <c r="C204">
        <f>wyniki!N243</f>
        <v>0</v>
      </c>
      <c r="D204">
        <v>2.0300000000000001E-3</v>
      </c>
      <c r="E204">
        <f t="shared" si="12"/>
        <v>2.0300000000000001E-3</v>
      </c>
      <c r="F204">
        <f>wyniki!$A$238</f>
        <v>0</v>
      </c>
      <c r="G204">
        <f>wyniki!B243</f>
        <v>0</v>
      </c>
      <c r="J204" s="79">
        <f t="shared" si="13"/>
        <v>0</v>
      </c>
      <c r="K204" s="69">
        <f>LARGE($E$2:$E$241,203)</f>
        <v>1.14E-3</v>
      </c>
      <c r="L204" s="59">
        <f t="shared" si="15"/>
        <v>114</v>
      </c>
      <c r="M204" s="90">
        <f t="shared" si="14"/>
        <v>0</v>
      </c>
      <c r="N204" s="37">
        <v>203</v>
      </c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</row>
    <row r="205" spans="3:34" ht="17.25" thickTop="1" thickBot="1">
      <c r="C205">
        <f>wyniki!N244</f>
        <v>0</v>
      </c>
      <c r="D205">
        <v>2.0400000000000001E-3</v>
      </c>
      <c r="E205">
        <f t="shared" si="12"/>
        <v>2.0400000000000001E-3</v>
      </c>
      <c r="F205">
        <f>wyniki!$A$238</f>
        <v>0</v>
      </c>
      <c r="G205">
        <f>wyniki!B244</f>
        <v>0</v>
      </c>
      <c r="J205" s="79">
        <f t="shared" si="13"/>
        <v>0</v>
      </c>
      <c r="K205" s="69">
        <f>LARGE($E$2:$E$241,204)</f>
        <v>1.1299999999999999E-3</v>
      </c>
      <c r="L205" s="59">
        <f t="shared" si="15"/>
        <v>113</v>
      </c>
      <c r="M205" s="90">
        <f t="shared" si="14"/>
        <v>0</v>
      </c>
      <c r="N205" s="37">
        <v>204</v>
      </c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</row>
    <row r="206" spans="3:34" ht="17.25" thickTop="1" thickBot="1">
      <c r="C206">
        <f>wyniki!N246</f>
        <v>0</v>
      </c>
      <c r="D206">
        <v>2.0500000000000002E-3</v>
      </c>
      <c r="E206">
        <f t="shared" si="12"/>
        <v>2.0500000000000002E-3</v>
      </c>
      <c r="F206">
        <f>wyniki!$A$245</f>
        <v>0</v>
      </c>
      <c r="G206">
        <f>wyniki!B246</f>
        <v>0</v>
      </c>
      <c r="J206" s="79">
        <f t="shared" si="13"/>
        <v>0</v>
      </c>
      <c r="K206" s="69">
        <f>LARGE($E$2:$E$241,205)</f>
        <v>1.1199999999999999E-3</v>
      </c>
      <c r="L206" s="59">
        <f t="shared" si="15"/>
        <v>112</v>
      </c>
      <c r="M206" s="90">
        <f t="shared" si="14"/>
        <v>0</v>
      </c>
      <c r="N206" s="37">
        <v>205</v>
      </c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</row>
    <row r="207" spans="3:34" ht="17.25" thickTop="1" thickBot="1">
      <c r="C207">
        <f>wyniki!N247</f>
        <v>0</v>
      </c>
      <c r="D207">
        <v>2.0600000000000002E-3</v>
      </c>
      <c r="E207">
        <f t="shared" si="12"/>
        <v>2.0600000000000002E-3</v>
      </c>
      <c r="F207">
        <f>wyniki!$A$245</f>
        <v>0</v>
      </c>
      <c r="G207">
        <f>wyniki!B247</f>
        <v>0</v>
      </c>
      <c r="J207" s="79">
        <f t="shared" si="13"/>
        <v>0</v>
      </c>
      <c r="K207" s="69">
        <f>LARGE($E$2:$E$241,206)</f>
        <v>1.1100000000000001E-3</v>
      </c>
      <c r="L207" s="59">
        <f t="shared" si="15"/>
        <v>111</v>
      </c>
      <c r="M207" s="90">
        <f t="shared" si="14"/>
        <v>0</v>
      </c>
      <c r="N207" s="37">
        <v>206</v>
      </c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</row>
    <row r="208" spans="3:34" ht="17.25" thickTop="1" thickBot="1">
      <c r="C208">
        <f>wyniki!N248</f>
        <v>0</v>
      </c>
      <c r="D208">
        <v>2.0699999999999998E-3</v>
      </c>
      <c r="E208">
        <f t="shared" si="12"/>
        <v>2.0699999999999998E-3</v>
      </c>
      <c r="F208">
        <f>wyniki!$A$245</f>
        <v>0</v>
      </c>
      <c r="G208">
        <f>wyniki!B248</f>
        <v>0</v>
      </c>
      <c r="J208" s="79">
        <f t="shared" si="13"/>
        <v>0</v>
      </c>
      <c r="K208" s="69">
        <f>LARGE($E$2:$E$241,207)</f>
        <v>1.1000000000000001E-3</v>
      </c>
      <c r="L208" s="59">
        <f t="shared" si="15"/>
        <v>110</v>
      </c>
      <c r="M208" s="90">
        <f t="shared" si="14"/>
        <v>0</v>
      </c>
      <c r="N208" s="37">
        <v>207</v>
      </c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</row>
    <row r="209" spans="3:34" ht="17.25" thickTop="1" thickBot="1">
      <c r="C209">
        <f>wyniki!N249</f>
        <v>0</v>
      </c>
      <c r="D209">
        <v>2.0799999999999998E-3</v>
      </c>
      <c r="E209">
        <f t="shared" si="12"/>
        <v>2.0799999999999998E-3</v>
      </c>
      <c r="F209">
        <f>wyniki!$A$245</f>
        <v>0</v>
      </c>
      <c r="G209">
        <f>wyniki!B249</f>
        <v>0</v>
      </c>
      <c r="J209" s="79">
        <f t="shared" si="13"/>
        <v>0</v>
      </c>
      <c r="K209" s="69">
        <f>LARGE($E$2:$E$241,208)</f>
        <v>1.09E-3</v>
      </c>
      <c r="L209" s="59">
        <f t="shared" si="15"/>
        <v>109</v>
      </c>
      <c r="M209" s="90">
        <f t="shared" si="14"/>
        <v>0</v>
      </c>
      <c r="N209" s="37">
        <v>208</v>
      </c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</row>
    <row r="210" spans="3:34" ht="17.25" thickTop="1" thickBot="1">
      <c r="C210">
        <f>wyniki!N250</f>
        <v>0</v>
      </c>
      <c r="D210">
        <v>2.0899999999999998E-3</v>
      </c>
      <c r="E210">
        <f t="shared" si="12"/>
        <v>2.0899999999999998E-3</v>
      </c>
      <c r="F210">
        <f>wyniki!$A$245</f>
        <v>0</v>
      </c>
      <c r="G210">
        <f>wyniki!B250</f>
        <v>0</v>
      </c>
      <c r="J210" s="79">
        <f t="shared" si="13"/>
        <v>0</v>
      </c>
      <c r="K210" s="69">
        <f>LARGE($E$2:$E$241,209)</f>
        <v>1.08E-3</v>
      </c>
      <c r="L210" s="59">
        <f t="shared" si="15"/>
        <v>108</v>
      </c>
      <c r="M210" s="90">
        <f t="shared" si="14"/>
        <v>0</v>
      </c>
      <c r="N210" s="37">
        <v>209</v>
      </c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</row>
    <row r="211" spans="3:34" ht="17.25" thickTop="1" thickBot="1">
      <c r="C211">
        <f>wyniki!N251</f>
        <v>0</v>
      </c>
      <c r="D211">
        <v>2.0999999999999999E-3</v>
      </c>
      <c r="E211">
        <f t="shared" si="12"/>
        <v>2.0999999999999999E-3</v>
      </c>
      <c r="F211">
        <f>wyniki!$A$245</f>
        <v>0</v>
      </c>
      <c r="G211">
        <f>wyniki!B251</f>
        <v>0</v>
      </c>
      <c r="J211" s="79">
        <f t="shared" si="13"/>
        <v>0</v>
      </c>
      <c r="K211" s="69">
        <f>LARGE($E$2:$E$241,210)</f>
        <v>1.07E-3</v>
      </c>
      <c r="L211" s="59">
        <f t="shared" si="15"/>
        <v>107</v>
      </c>
      <c r="M211" s="90">
        <f t="shared" si="14"/>
        <v>0</v>
      </c>
      <c r="N211" s="37">
        <v>210</v>
      </c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</row>
    <row r="212" spans="3:34" ht="17.25" thickTop="1" thickBot="1">
      <c r="C212">
        <f>wyniki!N253</f>
        <v>0</v>
      </c>
      <c r="D212">
        <v>2.1099999999999999E-3</v>
      </c>
      <c r="E212">
        <f t="shared" si="12"/>
        <v>2.1099999999999999E-3</v>
      </c>
      <c r="F212">
        <f>wyniki!$A$252</f>
        <v>0</v>
      </c>
      <c r="G212">
        <f>wyniki!B253</f>
        <v>0</v>
      </c>
      <c r="J212" s="79">
        <f t="shared" si="13"/>
        <v>0</v>
      </c>
      <c r="K212" s="69">
        <f>LARGE($E$2:$E$241,211)</f>
        <v>1.06E-3</v>
      </c>
      <c r="L212" s="59">
        <f t="shared" si="15"/>
        <v>106</v>
      </c>
      <c r="M212" s="90">
        <f t="shared" si="14"/>
        <v>0</v>
      </c>
      <c r="N212" s="37">
        <v>211</v>
      </c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</row>
    <row r="213" spans="3:34" ht="17.25" thickTop="1" thickBot="1">
      <c r="C213">
        <f>wyniki!N254</f>
        <v>0</v>
      </c>
      <c r="D213">
        <v>2.1199999999999999E-3</v>
      </c>
      <c r="E213">
        <f t="shared" si="12"/>
        <v>2.1199999999999999E-3</v>
      </c>
      <c r="F213">
        <f>wyniki!$A$252</f>
        <v>0</v>
      </c>
      <c r="G213">
        <f>wyniki!B254</f>
        <v>0</v>
      </c>
      <c r="J213" s="79">
        <f t="shared" si="13"/>
        <v>0</v>
      </c>
      <c r="K213" s="69">
        <f>LARGE($E$2:$E$241,212)</f>
        <v>1.0499999999999999E-3</v>
      </c>
      <c r="L213" s="59">
        <f t="shared" si="15"/>
        <v>105</v>
      </c>
      <c r="M213" s="90">
        <f t="shared" si="14"/>
        <v>0</v>
      </c>
      <c r="N213" s="37">
        <v>212</v>
      </c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</row>
    <row r="214" spans="3:34" ht="17.25" thickTop="1" thickBot="1">
      <c r="C214">
        <f>wyniki!N255</f>
        <v>0</v>
      </c>
      <c r="D214">
        <v>2.1299999999999999E-3</v>
      </c>
      <c r="E214">
        <f t="shared" si="12"/>
        <v>2.1299999999999999E-3</v>
      </c>
      <c r="F214">
        <f>wyniki!$A$252</f>
        <v>0</v>
      </c>
      <c r="G214">
        <f>wyniki!B255</f>
        <v>0</v>
      </c>
      <c r="J214" s="79">
        <f t="shared" si="13"/>
        <v>0</v>
      </c>
      <c r="K214" s="69">
        <f>LARGE($E$2:$E$241,213)</f>
        <v>1.0399999999999999E-3</v>
      </c>
      <c r="L214" s="59">
        <f t="shared" si="15"/>
        <v>104</v>
      </c>
      <c r="M214" s="90">
        <f t="shared" si="14"/>
        <v>0</v>
      </c>
      <c r="N214" s="37">
        <v>213</v>
      </c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</row>
    <row r="215" spans="3:34" ht="17.25" thickTop="1" thickBot="1">
      <c r="C215">
        <f>wyniki!N256</f>
        <v>0</v>
      </c>
      <c r="D215">
        <v>2.14E-3</v>
      </c>
      <c r="E215">
        <f t="shared" si="12"/>
        <v>2.14E-3</v>
      </c>
      <c r="F215">
        <f>wyniki!$A$252</f>
        <v>0</v>
      </c>
      <c r="G215">
        <f>wyniki!B256</f>
        <v>0</v>
      </c>
      <c r="J215" s="79">
        <f t="shared" si="13"/>
        <v>0</v>
      </c>
      <c r="K215" s="69">
        <f>LARGE($E$2:$E$241,214)</f>
        <v>1.0300000000000001E-3</v>
      </c>
      <c r="L215" s="59">
        <f t="shared" si="15"/>
        <v>103</v>
      </c>
      <c r="M215" s="90">
        <f t="shared" si="14"/>
        <v>0</v>
      </c>
      <c r="N215" s="37">
        <v>214</v>
      </c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</row>
    <row r="216" spans="3:34" ht="17.25" thickTop="1" thickBot="1">
      <c r="C216">
        <f>wyniki!N257</f>
        <v>0</v>
      </c>
      <c r="D216">
        <v>2.15E-3</v>
      </c>
      <c r="E216">
        <f t="shared" si="12"/>
        <v>2.15E-3</v>
      </c>
      <c r="F216">
        <f>wyniki!$A$252</f>
        <v>0</v>
      </c>
      <c r="G216">
        <f>wyniki!B257</f>
        <v>0</v>
      </c>
      <c r="J216" s="79">
        <f t="shared" si="13"/>
        <v>0</v>
      </c>
      <c r="K216" s="69">
        <f>LARGE($E$2:$E$241,215)</f>
        <v>1.0200000000000001E-3</v>
      </c>
      <c r="L216" s="59">
        <f t="shared" si="15"/>
        <v>102</v>
      </c>
      <c r="M216" s="90">
        <f t="shared" si="14"/>
        <v>0</v>
      </c>
      <c r="N216" s="37">
        <v>215</v>
      </c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</row>
    <row r="217" spans="3:34" ht="17.25" thickTop="1" thickBot="1">
      <c r="C217">
        <f>wyniki!N258</f>
        <v>0</v>
      </c>
      <c r="D217">
        <v>2.16E-3</v>
      </c>
      <c r="E217">
        <f t="shared" si="12"/>
        <v>2.16E-3</v>
      </c>
      <c r="F217">
        <f>wyniki!$A$252</f>
        <v>0</v>
      </c>
      <c r="G217">
        <f>wyniki!B258</f>
        <v>0</v>
      </c>
      <c r="J217" s="79">
        <f t="shared" si="13"/>
        <v>0</v>
      </c>
      <c r="K217" s="69">
        <f>LARGE($E$2:$E$241,216)</f>
        <v>1.01E-3</v>
      </c>
      <c r="L217" s="59">
        <f t="shared" si="15"/>
        <v>101</v>
      </c>
      <c r="M217" s="90">
        <f t="shared" si="14"/>
        <v>0</v>
      </c>
      <c r="N217" s="37">
        <v>216</v>
      </c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</row>
    <row r="218" spans="3:34" ht="17.25" thickTop="1" thickBot="1">
      <c r="C218">
        <f>wyniki!N260</f>
        <v>0</v>
      </c>
      <c r="D218">
        <v>2.1700000000000001E-3</v>
      </c>
      <c r="E218">
        <f t="shared" si="12"/>
        <v>2.1700000000000001E-3</v>
      </c>
      <c r="F218">
        <f>wyniki!$A$259</f>
        <v>0</v>
      </c>
      <c r="G218">
        <f>wyniki!B260</f>
        <v>0</v>
      </c>
      <c r="J218" s="79">
        <f t="shared" si="13"/>
        <v>0</v>
      </c>
      <c r="K218" s="69">
        <f>LARGE($E$2:$E$241,217)</f>
        <v>1E-3</v>
      </c>
      <c r="L218" s="59">
        <f t="shared" si="15"/>
        <v>100</v>
      </c>
      <c r="M218" s="90">
        <f t="shared" si="14"/>
        <v>0</v>
      </c>
      <c r="N218" s="37">
        <v>217</v>
      </c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</row>
    <row r="219" spans="3:34" ht="17.25" thickTop="1" thickBot="1">
      <c r="C219">
        <f>wyniki!N261</f>
        <v>0</v>
      </c>
      <c r="D219">
        <v>2.1800000000000001E-3</v>
      </c>
      <c r="E219">
        <f t="shared" si="12"/>
        <v>2.1800000000000001E-3</v>
      </c>
      <c r="F219">
        <f>wyniki!$A$259</f>
        <v>0</v>
      </c>
      <c r="G219">
        <f>wyniki!B261</f>
        <v>0</v>
      </c>
      <c r="J219" s="79">
        <f t="shared" si="13"/>
        <v>0</v>
      </c>
      <c r="K219" s="69">
        <f>LARGE($E$2:$E$241,218)</f>
        <v>9.8999999999999999E-4</v>
      </c>
      <c r="L219" s="59">
        <f t="shared" si="15"/>
        <v>99</v>
      </c>
      <c r="M219" s="90">
        <f t="shared" si="14"/>
        <v>0</v>
      </c>
      <c r="N219" s="37">
        <v>218</v>
      </c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</row>
    <row r="220" spans="3:34" ht="17.25" thickTop="1" thickBot="1">
      <c r="C220">
        <f>wyniki!N262</f>
        <v>0</v>
      </c>
      <c r="D220">
        <v>2.1900000000000001E-3</v>
      </c>
      <c r="E220">
        <f t="shared" si="12"/>
        <v>2.1900000000000001E-3</v>
      </c>
      <c r="F220">
        <f>wyniki!$A$259</f>
        <v>0</v>
      </c>
      <c r="G220">
        <f>wyniki!B262</f>
        <v>0</v>
      </c>
      <c r="J220" s="79">
        <f t="shared" si="13"/>
        <v>0</v>
      </c>
      <c r="K220" s="69">
        <f>LARGE($E$2:$E$241,219)</f>
        <v>9.7999999999999997E-4</v>
      </c>
      <c r="L220" s="59">
        <f t="shared" si="15"/>
        <v>98</v>
      </c>
      <c r="M220" s="90">
        <f t="shared" si="14"/>
        <v>0</v>
      </c>
      <c r="N220" s="37">
        <v>219</v>
      </c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</row>
    <row r="221" spans="3:34" ht="17.25" thickTop="1" thickBot="1">
      <c r="C221">
        <f>wyniki!N263</f>
        <v>0</v>
      </c>
      <c r="D221">
        <v>2.2000000000000001E-3</v>
      </c>
      <c r="E221">
        <f t="shared" si="12"/>
        <v>2.2000000000000001E-3</v>
      </c>
      <c r="F221">
        <f>wyniki!$A$259</f>
        <v>0</v>
      </c>
      <c r="G221">
        <f>wyniki!B263</f>
        <v>0</v>
      </c>
      <c r="J221" s="79">
        <f t="shared" si="13"/>
        <v>0</v>
      </c>
      <c r="K221" s="69">
        <f>LARGE($E$2:$E$241,220)</f>
        <v>9.7000000000000005E-4</v>
      </c>
      <c r="L221" s="59">
        <f t="shared" si="15"/>
        <v>97</v>
      </c>
      <c r="M221" s="90">
        <f t="shared" si="14"/>
        <v>0</v>
      </c>
      <c r="N221" s="37">
        <v>220</v>
      </c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</row>
    <row r="222" spans="3:34" ht="17.25" thickTop="1" thickBot="1">
      <c r="C222">
        <f>wyniki!N264</f>
        <v>0</v>
      </c>
      <c r="D222">
        <v>2.2100000000000002E-3</v>
      </c>
      <c r="E222">
        <f t="shared" si="12"/>
        <v>2.2100000000000002E-3</v>
      </c>
      <c r="F222">
        <f>wyniki!$A$259</f>
        <v>0</v>
      </c>
      <c r="G222">
        <f>wyniki!B264</f>
        <v>0</v>
      </c>
      <c r="J222" s="79">
        <f t="shared" si="13"/>
        <v>0</v>
      </c>
      <c r="K222" s="69">
        <f>LARGE($E$2:$E$241,221)</f>
        <v>9.6000000000000002E-4</v>
      </c>
      <c r="L222" s="59">
        <f t="shared" si="15"/>
        <v>96</v>
      </c>
      <c r="M222" s="90">
        <f t="shared" si="14"/>
        <v>0</v>
      </c>
      <c r="N222" s="37">
        <v>221</v>
      </c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</row>
    <row r="223" spans="3:34" ht="17.25" thickTop="1" thickBot="1">
      <c r="C223">
        <f>wyniki!N265</f>
        <v>0</v>
      </c>
      <c r="D223">
        <v>2.2200000000000002E-3</v>
      </c>
      <c r="E223">
        <f t="shared" si="12"/>
        <v>2.2200000000000002E-3</v>
      </c>
      <c r="F223">
        <f>wyniki!$A$259</f>
        <v>0</v>
      </c>
      <c r="G223">
        <f>wyniki!B265</f>
        <v>0</v>
      </c>
      <c r="J223" s="79">
        <f t="shared" si="13"/>
        <v>0</v>
      </c>
      <c r="K223" s="69">
        <f>LARGE($E$2:$E$241,222)</f>
        <v>9.5E-4</v>
      </c>
      <c r="L223" s="59">
        <f t="shared" si="15"/>
        <v>95</v>
      </c>
      <c r="M223" s="90">
        <f t="shared" si="14"/>
        <v>0</v>
      </c>
      <c r="N223" s="37">
        <v>222</v>
      </c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</row>
    <row r="224" spans="3:34" ht="17.25" thickTop="1" thickBot="1">
      <c r="C224">
        <f>wyniki!N267</f>
        <v>0</v>
      </c>
      <c r="D224">
        <v>2.2300000000000002E-3</v>
      </c>
      <c r="E224">
        <f t="shared" si="12"/>
        <v>2.2300000000000002E-3</v>
      </c>
      <c r="F224">
        <f>wyniki!$A$266</f>
        <v>0</v>
      </c>
      <c r="G224">
        <f>wyniki!B267</f>
        <v>0</v>
      </c>
      <c r="J224" s="79">
        <f t="shared" si="13"/>
        <v>0</v>
      </c>
      <c r="K224" s="69">
        <f>LARGE($E$2:$E$241,223)</f>
        <v>9.3999999999999997E-4</v>
      </c>
      <c r="L224" s="59">
        <f t="shared" si="15"/>
        <v>94</v>
      </c>
      <c r="M224" s="90">
        <f t="shared" si="14"/>
        <v>0</v>
      </c>
      <c r="N224" s="37">
        <v>223</v>
      </c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</row>
    <row r="225" spans="3:34" ht="17.25" thickTop="1" thickBot="1">
      <c r="C225">
        <f>wyniki!N268</f>
        <v>0</v>
      </c>
      <c r="D225">
        <v>2.2399999999999998E-3</v>
      </c>
      <c r="E225">
        <f t="shared" si="12"/>
        <v>2.2399999999999998E-3</v>
      </c>
      <c r="F225">
        <f>wyniki!$A$266</f>
        <v>0</v>
      </c>
      <c r="G225">
        <f>wyniki!B268</f>
        <v>0</v>
      </c>
      <c r="J225" s="79">
        <f t="shared" si="13"/>
        <v>0</v>
      </c>
      <c r="K225" s="69">
        <f>LARGE($E$2:$E$241,224)</f>
        <v>9.3000000000000005E-4</v>
      </c>
      <c r="L225" s="59">
        <f t="shared" si="15"/>
        <v>93</v>
      </c>
      <c r="M225" s="90">
        <f t="shared" si="14"/>
        <v>0</v>
      </c>
      <c r="N225" s="37">
        <v>224</v>
      </c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</row>
    <row r="226" spans="3:34" ht="17.25" thickTop="1" thickBot="1">
      <c r="C226">
        <f>wyniki!N269</f>
        <v>0</v>
      </c>
      <c r="D226">
        <v>2.2499999999999998E-3</v>
      </c>
      <c r="E226">
        <f t="shared" si="12"/>
        <v>2.2499999999999998E-3</v>
      </c>
      <c r="F226">
        <f>wyniki!$A$266</f>
        <v>0</v>
      </c>
      <c r="G226">
        <f>wyniki!B269</f>
        <v>0</v>
      </c>
      <c r="J226" s="79">
        <f t="shared" si="13"/>
        <v>0</v>
      </c>
      <c r="K226" s="69">
        <f>LARGE($E$2:$E$241,225)</f>
        <v>9.2000000000000003E-4</v>
      </c>
      <c r="L226" s="59">
        <f t="shared" si="15"/>
        <v>92</v>
      </c>
      <c r="M226" s="90">
        <f t="shared" si="14"/>
        <v>0</v>
      </c>
      <c r="N226" s="37">
        <v>225</v>
      </c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</row>
    <row r="227" spans="3:34" ht="17.25" thickTop="1" thickBot="1">
      <c r="C227">
        <f>wyniki!N270</f>
        <v>0</v>
      </c>
      <c r="D227">
        <v>2.2599999999999999E-3</v>
      </c>
      <c r="E227">
        <f t="shared" si="12"/>
        <v>2.2599999999999999E-3</v>
      </c>
      <c r="F227">
        <f>wyniki!$A$266</f>
        <v>0</v>
      </c>
      <c r="G227">
        <f>wyniki!B270</f>
        <v>0</v>
      </c>
      <c r="J227" s="79">
        <f t="shared" si="13"/>
        <v>0</v>
      </c>
      <c r="K227" s="69">
        <f>LARGE($E$2:$E$241,226)</f>
        <v>9.1E-4</v>
      </c>
      <c r="L227" s="59">
        <f t="shared" si="15"/>
        <v>91</v>
      </c>
      <c r="M227" s="90">
        <f t="shared" si="14"/>
        <v>0</v>
      </c>
      <c r="N227" s="37">
        <v>226</v>
      </c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</row>
    <row r="228" spans="3:34" ht="17.25" thickTop="1" thickBot="1">
      <c r="C228">
        <f>wyniki!N271</f>
        <v>0</v>
      </c>
      <c r="D228">
        <v>2.2699999999999999E-3</v>
      </c>
      <c r="E228">
        <f t="shared" si="12"/>
        <v>2.2699999999999999E-3</v>
      </c>
      <c r="F228">
        <f>wyniki!$A$266</f>
        <v>0</v>
      </c>
      <c r="G228">
        <f>wyniki!B271</f>
        <v>0</v>
      </c>
      <c r="J228" s="79">
        <f t="shared" si="13"/>
        <v>0</v>
      </c>
      <c r="K228" s="69">
        <f>LARGE($E$2:$E$241,227)</f>
        <v>8.9999999999999998E-4</v>
      </c>
      <c r="L228" s="59">
        <f t="shared" si="15"/>
        <v>90</v>
      </c>
      <c r="M228" s="90">
        <f t="shared" si="14"/>
        <v>0</v>
      </c>
      <c r="N228" s="37">
        <v>227</v>
      </c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</row>
    <row r="229" spans="3:34" ht="17.25" thickTop="1" thickBot="1">
      <c r="C229">
        <f>wyniki!N272</f>
        <v>0</v>
      </c>
      <c r="D229">
        <v>2.2799999999999999E-3</v>
      </c>
      <c r="E229">
        <f t="shared" si="12"/>
        <v>2.2799999999999999E-3</v>
      </c>
      <c r="F229">
        <f>wyniki!$A$266</f>
        <v>0</v>
      </c>
      <c r="G229">
        <f>wyniki!B272</f>
        <v>0</v>
      </c>
      <c r="J229" s="79">
        <f t="shared" si="13"/>
        <v>0</v>
      </c>
      <c r="K229" s="69">
        <f>LARGE($E$2:$E$241,228)</f>
        <v>8.8999999999999995E-4</v>
      </c>
      <c r="L229" s="59">
        <f t="shared" si="15"/>
        <v>89</v>
      </c>
      <c r="M229" s="90">
        <f t="shared" si="14"/>
        <v>0</v>
      </c>
      <c r="N229" s="37">
        <v>228</v>
      </c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</row>
    <row r="230" spans="3:34" ht="17.25" thickTop="1" thickBot="1">
      <c r="C230">
        <f>wyniki!N274</f>
        <v>0</v>
      </c>
      <c r="D230">
        <v>2.2899999999999999E-3</v>
      </c>
      <c r="E230">
        <f t="shared" si="12"/>
        <v>2.2899999999999999E-3</v>
      </c>
      <c r="F230">
        <f>wyniki!$A$273</f>
        <v>0</v>
      </c>
      <c r="G230">
        <f>wyniki!B274</f>
        <v>0</v>
      </c>
      <c r="J230" s="79">
        <f t="shared" si="13"/>
        <v>0</v>
      </c>
      <c r="K230" s="69">
        <f>LARGE($E$2:$E$241,229)</f>
        <v>8.8000000000000003E-4</v>
      </c>
      <c r="L230" s="59">
        <f t="shared" si="15"/>
        <v>88</v>
      </c>
      <c r="M230" s="90">
        <f t="shared" si="14"/>
        <v>0</v>
      </c>
      <c r="N230" s="37">
        <v>229</v>
      </c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</row>
    <row r="231" spans="3:34" ht="17.25" thickTop="1" thickBot="1">
      <c r="C231">
        <f>wyniki!N275</f>
        <v>0</v>
      </c>
      <c r="D231">
        <v>2.3E-3</v>
      </c>
      <c r="E231">
        <f t="shared" si="12"/>
        <v>2.3E-3</v>
      </c>
      <c r="F231">
        <f>wyniki!$A$273</f>
        <v>0</v>
      </c>
      <c r="G231">
        <f>wyniki!B275</f>
        <v>0</v>
      </c>
      <c r="J231" s="79">
        <f t="shared" si="13"/>
        <v>0</v>
      </c>
      <c r="K231" s="69">
        <f>LARGE($E$2:$E$241,230)</f>
        <v>8.7000000000000001E-4</v>
      </c>
      <c r="L231" s="59">
        <f t="shared" si="15"/>
        <v>87</v>
      </c>
      <c r="M231" s="90">
        <f t="shared" si="14"/>
        <v>0</v>
      </c>
      <c r="N231" s="37">
        <v>230</v>
      </c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</row>
    <row r="232" spans="3:34" ht="17.25" thickTop="1" thickBot="1">
      <c r="C232">
        <f>wyniki!N276</f>
        <v>0</v>
      </c>
      <c r="D232">
        <v>2.31E-3</v>
      </c>
      <c r="E232">
        <f t="shared" si="12"/>
        <v>2.31E-3</v>
      </c>
      <c r="F232">
        <f>wyniki!$A$273</f>
        <v>0</v>
      </c>
      <c r="G232">
        <f>wyniki!B276</f>
        <v>0</v>
      </c>
      <c r="J232" s="79">
        <f t="shared" si="13"/>
        <v>0</v>
      </c>
      <c r="K232" s="69">
        <f>LARGE($E$2:$E$241,231)</f>
        <v>8.5999999999999998E-4</v>
      </c>
      <c r="L232" s="59">
        <f t="shared" si="15"/>
        <v>86</v>
      </c>
      <c r="M232" s="90">
        <f t="shared" si="14"/>
        <v>0</v>
      </c>
      <c r="N232" s="37">
        <v>231</v>
      </c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</row>
    <row r="233" spans="3:34" ht="17.25" thickTop="1" thickBot="1">
      <c r="C233">
        <f>wyniki!N277</f>
        <v>0</v>
      </c>
      <c r="D233">
        <v>2.32E-3</v>
      </c>
      <c r="E233">
        <f t="shared" si="12"/>
        <v>2.32E-3</v>
      </c>
      <c r="F233">
        <f>wyniki!$A$273</f>
        <v>0</v>
      </c>
      <c r="G233">
        <f>wyniki!B277</f>
        <v>0</v>
      </c>
      <c r="J233" s="79">
        <f t="shared" si="13"/>
        <v>0</v>
      </c>
      <c r="K233" s="69">
        <f>LARGE($E$2:$E$241,232)</f>
        <v>8.4999999999999995E-4</v>
      </c>
      <c r="L233" s="59">
        <f t="shared" si="15"/>
        <v>85</v>
      </c>
      <c r="M233" s="90">
        <f t="shared" si="14"/>
        <v>0</v>
      </c>
      <c r="N233" s="37">
        <v>232</v>
      </c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</row>
    <row r="234" spans="3:34" ht="17.25" thickTop="1" thickBot="1">
      <c r="C234">
        <f>wyniki!N278</f>
        <v>0</v>
      </c>
      <c r="D234">
        <v>2.33E-3</v>
      </c>
      <c r="E234">
        <f t="shared" si="12"/>
        <v>2.33E-3</v>
      </c>
      <c r="F234">
        <f>wyniki!$A$273</f>
        <v>0</v>
      </c>
      <c r="G234">
        <f>wyniki!B278</f>
        <v>0</v>
      </c>
      <c r="J234" s="79">
        <f t="shared" si="13"/>
        <v>0</v>
      </c>
      <c r="K234" s="69">
        <f>LARGE($E$2:$E$241,233)</f>
        <v>8.4000000000000003E-4</v>
      </c>
      <c r="L234" s="59">
        <f t="shared" si="15"/>
        <v>84</v>
      </c>
      <c r="M234" s="90">
        <f t="shared" si="14"/>
        <v>0</v>
      </c>
      <c r="N234" s="37">
        <v>233</v>
      </c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</row>
    <row r="235" spans="3:34" ht="17.25" thickTop="1" thickBot="1">
      <c r="C235">
        <f>wyniki!N279</f>
        <v>0</v>
      </c>
      <c r="D235">
        <v>2.3400000000000001E-3</v>
      </c>
      <c r="E235">
        <f t="shared" si="12"/>
        <v>2.3400000000000001E-3</v>
      </c>
      <c r="F235">
        <f>wyniki!$A$273</f>
        <v>0</v>
      </c>
      <c r="G235">
        <f>wyniki!B279</f>
        <v>0</v>
      </c>
      <c r="J235" s="79">
        <f t="shared" si="13"/>
        <v>0</v>
      </c>
      <c r="K235" s="69">
        <f>LARGE($E$2:$E$241,234)</f>
        <v>8.3000000000000001E-4</v>
      </c>
      <c r="L235" s="59">
        <f t="shared" si="15"/>
        <v>83</v>
      </c>
      <c r="M235" s="90">
        <f t="shared" si="14"/>
        <v>0</v>
      </c>
      <c r="N235" s="37">
        <v>234</v>
      </c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</row>
    <row r="236" spans="3:34" ht="17.25" thickTop="1" thickBot="1">
      <c r="C236">
        <f>wyniki!N281</f>
        <v>0</v>
      </c>
      <c r="D236">
        <v>2.3500000000000001E-3</v>
      </c>
      <c r="E236">
        <f t="shared" si="12"/>
        <v>2.3500000000000001E-3</v>
      </c>
      <c r="F236">
        <f>wyniki!$A$280</f>
        <v>0</v>
      </c>
      <c r="G236">
        <f>wyniki!B281</f>
        <v>0</v>
      </c>
      <c r="J236" s="79">
        <f t="shared" si="13"/>
        <v>0</v>
      </c>
      <c r="K236" s="69">
        <f>LARGE($E$2:$E$241,235)</f>
        <v>8.1999999999999998E-4</v>
      </c>
      <c r="L236" s="59">
        <f t="shared" si="15"/>
        <v>82</v>
      </c>
      <c r="M236" s="90">
        <f t="shared" si="14"/>
        <v>0</v>
      </c>
      <c r="N236" s="37">
        <v>235</v>
      </c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</row>
    <row r="237" spans="3:34" ht="17.25" thickTop="1" thickBot="1">
      <c r="C237">
        <f>wyniki!N282</f>
        <v>0</v>
      </c>
      <c r="D237">
        <v>2.3600000000000001E-3</v>
      </c>
      <c r="E237">
        <f t="shared" si="12"/>
        <v>2.3600000000000001E-3</v>
      </c>
      <c r="F237">
        <f>wyniki!$A$280</f>
        <v>0</v>
      </c>
      <c r="G237">
        <f>wyniki!B282</f>
        <v>0</v>
      </c>
      <c r="J237" s="79">
        <f t="shared" si="13"/>
        <v>0</v>
      </c>
      <c r="K237" s="69">
        <f>LARGE($E$2:$E$241,236)</f>
        <v>8.0999999999999996E-4</v>
      </c>
      <c r="L237" s="59">
        <f t="shared" si="15"/>
        <v>81</v>
      </c>
      <c r="M237" s="90">
        <f t="shared" si="14"/>
        <v>0</v>
      </c>
      <c r="N237" s="37">
        <v>236</v>
      </c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</row>
    <row r="238" spans="3:34" ht="17.25" thickTop="1" thickBot="1">
      <c r="C238">
        <f>wyniki!N283</f>
        <v>0</v>
      </c>
      <c r="D238">
        <v>2.3700000000000001E-3</v>
      </c>
      <c r="E238">
        <f t="shared" si="12"/>
        <v>2.3700000000000001E-3</v>
      </c>
      <c r="F238">
        <f>wyniki!$A$280</f>
        <v>0</v>
      </c>
      <c r="G238">
        <f>wyniki!B283</f>
        <v>0</v>
      </c>
      <c r="J238" s="79">
        <f t="shared" si="13"/>
        <v>0</v>
      </c>
      <c r="K238" s="69">
        <f>LARGE($E$2:$E$241,237)</f>
        <v>8.0000000000000004E-4</v>
      </c>
      <c r="L238" s="59">
        <f t="shared" si="15"/>
        <v>80</v>
      </c>
      <c r="M238" s="90">
        <f t="shared" si="14"/>
        <v>0</v>
      </c>
      <c r="N238" s="37">
        <v>237</v>
      </c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</row>
    <row r="239" spans="3:34" ht="17.25" thickTop="1" thickBot="1">
      <c r="C239">
        <f>wyniki!N284</f>
        <v>0</v>
      </c>
      <c r="D239">
        <v>2.3800000000000002E-3</v>
      </c>
      <c r="E239">
        <f t="shared" si="12"/>
        <v>2.3800000000000002E-3</v>
      </c>
      <c r="F239">
        <f>wyniki!$A$280</f>
        <v>0</v>
      </c>
      <c r="G239">
        <f>wyniki!B284</f>
        <v>0</v>
      </c>
      <c r="J239" s="79">
        <f t="shared" si="13"/>
        <v>0</v>
      </c>
      <c r="K239" s="69">
        <f>LARGE($E$2:$E$241,238)</f>
        <v>7.9000000000000001E-4</v>
      </c>
      <c r="L239" s="59">
        <f t="shared" si="15"/>
        <v>79</v>
      </c>
      <c r="M239" s="90">
        <f t="shared" si="14"/>
        <v>0</v>
      </c>
      <c r="N239" s="37">
        <v>238</v>
      </c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</row>
    <row r="240" spans="3:34" ht="17.25" thickTop="1" thickBot="1">
      <c r="C240">
        <f>wyniki!N285</f>
        <v>0</v>
      </c>
      <c r="D240">
        <v>2.3900000000000002E-3</v>
      </c>
      <c r="E240">
        <f t="shared" si="12"/>
        <v>2.3900000000000002E-3</v>
      </c>
      <c r="F240">
        <f>wyniki!$A$280</f>
        <v>0</v>
      </c>
      <c r="G240">
        <f>wyniki!B285</f>
        <v>0</v>
      </c>
      <c r="J240" s="79">
        <f t="shared" si="13"/>
        <v>0</v>
      </c>
      <c r="K240" s="69">
        <f>LARGE($E$2:$E$241,239)</f>
        <v>7.2000000000000005E-4</v>
      </c>
      <c r="L240" s="59">
        <f t="shared" si="15"/>
        <v>72</v>
      </c>
      <c r="M240" s="90" t="str">
        <f t="shared" si="14"/>
        <v>SP2 Mława</v>
      </c>
      <c r="N240" s="37">
        <v>239</v>
      </c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</row>
    <row r="241" spans="1:34" ht="17.25" thickTop="1" thickBot="1">
      <c r="C241">
        <f>wyniki!N286</f>
        <v>0</v>
      </c>
      <c r="D241">
        <v>2.3999999999999998E-3</v>
      </c>
      <c r="E241">
        <f t="shared" si="12"/>
        <v>2.3999999999999998E-3</v>
      </c>
      <c r="F241">
        <f>wyniki!$A$280</f>
        <v>0</v>
      </c>
      <c r="G241">
        <f>wyniki!B286</f>
        <v>0</v>
      </c>
      <c r="J241" s="79">
        <f t="shared" si="13"/>
        <v>0</v>
      </c>
      <c r="K241" s="69">
        <f>LARGE($E$2:$E$241,240)</f>
        <v>1.2E-4</v>
      </c>
      <c r="L241" s="59">
        <f t="shared" si="15"/>
        <v>12</v>
      </c>
      <c r="M241" s="90" t="str">
        <f t="shared" si="14"/>
        <v>PSP24 Radom</v>
      </c>
      <c r="N241" s="37">
        <v>240</v>
      </c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</row>
    <row r="242" spans="1:34" ht="13.5" thickTop="1">
      <c r="A242" s="21"/>
      <c r="B242" s="21"/>
      <c r="C242" s="21"/>
      <c r="D242" s="21"/>
      <c r="E242" s="21"/>
      <c r="F242" s="21"/>
      <c r="G242" s="21"/>
      <c r="H242" s="21"/>
      <c r="I242" s="21"/>
      <c r="J242" s="86"/>
      <c r="K242" s="72"/>
      <c r="L242" s="21"/>
      <c r="M242" s="86"/>
      <c r="N242" s="74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</row>
    <row r="243" spans="1:34">
      <c r="A243" s="21"/>
      <c r="B243" s="21"/>
      <c r="C243" s="21"/>
      <c r="D243" s="21"/>
      <c r="E243" s="21"/>
      <c r="F243" s="21"/>
      <c r="G243" s="21"/>
      <c r="H243" s="21"/>
      <c r="I243" s="21"/>
      <c r="J243" s="86"/>
      <c r="K243" s="72"/>
      <c r="L243" s="21"/>
      <c r="M243" s="86"/>
      <c r="N243" s="74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</row>
    <row r="244" spans="1:34">
      <c r="A244" s="21"/>
      <c r="B244" s="21"/>
      <c r="C244" s="21"/>
      <c r="D244" s="21"/>
      <c r="E244" s="21"/>
      <c r="F244" s="21"/>
      <c r="G244" s="21"/>
      <c r="H244" s="21"/>
      <c r="I244" s="21"/>
      <c r="J244" s="86"/>
      <c r="K244" s="72"/>
      <c r="L244" s="21"/>
      <c r="M244" s="86"/>
      <c r="N244" s="74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</row>
    <row r="245" spans="1:34">
      <c r="A245" s="21"/>
      <c r="B245" s="21"/>
      <c r="C245" s="21"/>
      <c r="D245" s="21"/>
      <c r="E245" s="21"/>
      <c r="F245" s="21"/>
      <c r="G245" s="21"/>
      <c r="H245" s="21"/>
      <c r="I245" s="21"/>
      <c r="J245" s="86"/>
      <c r="K245" s="72"/>
      <c r="L245" s="21"/>
      <c r="M245" s="86"/>
      <c r="N245" s="74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</row>
    <row r="246" spans="1:34">
      <c r="A246" s="21"/>
      <c r="B246" s="21"/>
      <c r="C246" s="21"/>
      <c r="D246" s="21"/>
      <c r="E246" s="21"/>
      <c r="F246" s="21"/>
      <c r="G246" s="21"/>
      <c r="H246" s="21"/>
      <c r="I246" s="21"/>
      <c r="J246" s="86"/>
      <c r="K246" s="72"/>
      <c r="L246" s="21"/>
      <c r="M246" s="86"/>
      <c r="N246" s="74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</row>
    <row r="247" spans="1:34">
      <c r="A247" s="21"/>
      <c r="B247" s="21"/>
      <c r="C247" s="21"/>
      <c r="D247" s="21"/>
      <c r="E247" s="21"/>
      <c r="F247" s="21"/>
      <c r="G247" s="21"/>
      <c r="H247" s="21"/>
      <c r="I247" s="21"/>
      <c r="J247" s="86"/>
      <c r="K247" s="72"/>
      <c r="L247" s="21"/>
      <c r="M247" s="86"/>
      <c r="N247" s="74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</row>
    <row r="248" spans="1:34">
      <c r="A248" s="21"/>
      <c r="B248" s="21"/>
      <c r="C248" s="21"/>
      <c r="D248" s="21"/>
      <c r="E248" s="21"/>
      <c r="F248" s="21"/>
      <c r="G248" s="21"/>
      <c r="H248" s="21"/>
      <c r="I248" s="21"/>
      <c r="J248" s="86"/>
      <c r="K248" s="72"/>
      <c r="L248" s="21"/>
      <c r="M248" s="86"/>
      <c r="N248" s="74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</row>
    <row r="249" spans="1:34">
      <c r="A249" s="21"/>
      <c r="B249" s="21"/>
      <c r="C249" s="21"/>
      <c r="D249" s="21"/>
      <c r="E249" s="21"/>
      <c r="F249" s="21"/>
      <c r="G249" s="21"/>
      <c r="H249" s="21"/>
      <c r="I249" s="21"/>
      <c r="J249" s="86"/>
      <c r="K249" s="72"/>
      <c r="L249" s="21"/>
      <c r="M249" s="86"/>
      <c r="N249" s="74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</row>
    <row r="250" spans="1:34">
      <c r="A250" s="21"/>
      <c r="B250" s="21"/>
      <c r="C250" s="21"/>
      <c r="D250" s="21"/>
      <c r="E250" s="21"/>
      <c r="F250" s="21"/>
      <c r="G250" s="21"/>
      <c r="H250" s="21"/>
      <c r="I250" s="21"/>
      <c r="J250" s="86"/>
      <c r="K250" s="72"/>
      <c r="L250" s="21"/>
      <c r="M250" s="86"/>
      <c r="N250" s="74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</row>
    <row r="251" spans="1:34">
      <c r="A251" s="21"/>
      <c r="B251" s="21"/>
      <c r="C251" s="21"/>
      <c r="D251" s="21"/>
      <c r="E251" s="21"/>
      <c r="F251" s="21"/>
      <c r="G251" s="21"/>
      <c r="H251" s="21"/>
      <c r="I251" s="21"/>
      <c r="J251" s="86"/>
      <c r="K251" s="72"/>
      <c r="L251" s="21"/>
      <c r="M251" s="86"/>
      <c r="N251" s="74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</row>
    <row r="252" spans="1:34">
      <c r="A252" s="21"/>
      <c r="B252" s="21"/>
      <c r="C252" s="21"/>
      <c r="D252" s="21"/>
      <c r="E252" s="21"/>
      <c r="F252" s="21"/>
      <c r="G252" s="21"/>
      <c r="H252" s="21"/>
      <c r="I252" s="21"/>
      <c r="J252" s="86"/>
      <c r="K252" s="72"/>
      <c r="L252" s="21"/>
      <c r="M252" s="86"/>
      <c r="N252" s="74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</row>
    <row r="253" spans="1:34">
      <c r="A253" s="21"/>
      <c r="B253" s="21"/>
      <c r="C253" s="21"/>
      <c r="D253" s="21"/>
      <c r="E253" s="21"/>
      <c r="F253" s="21"/>
      <c r="G253" s="21"/>
      <c r="H253" s="21"/>
      <c r="I253" s="21"/>
      <c r="J253" s="86"/>
      <c r="K253" s="72"/>
      <c r="L253" s="21"/>
      <c r="M253" s="86"/>
      <c r="N253" s="74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</row>
    <row r="254" spans="1:34">
      <c r="A254" s="21"/>
      <c r="B254" s="21"/>
      <c r="C254" s="21"/>
      <c r="D254" s="21"/>
      <c r="E254" s="21"/>
      <c r="F254" s="21"/>
      <c r="G254" s="21"/>
      <c r="H254" s="21"/>
      <c r="I254" s="21"/>
      <c r="J254" s="86"/>
      <c r="K254" s="72"/>
      <c r="L254" s="21"/>
      <c r="M254" s="86"/>
      <c r="N254" s="74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</row>
    <row r="255" spans="1:34">
      <c r="A255" s="21"/>
      <c r="B255" s="21"/>
      <c r="C255" s="21"/>
      <c r="D255" s="21"/>
      <c r="E255" s="21"/>
      <c r="F255" s="21"/>
      <c r="G255" s="21"/>
      <c r="H255" s="21"/>
      <c r="I255" s="21"/>
      <c r="J255" s="86"/>
      <c r="K255" s="72"/>
      <c r="L255" s="21"/>
      <c r="M255" s="86"/>
      <c r="N255" s="74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</row>
    <row r="256" spans="1:34">
      <c r="A256" s="21"/>
      <c r="B256" s="21"/>
      <c r="C256" s="21"/>
      <c r="D256" s="21"/>
      <c r="E256" s="21"/>
      <c r="F256" s="21"/>
      <c r="G256" s="21"/>
      <c r="H256" s="21"/>
      <c r="I256" s="21"/>
      <c r="J256" s="86"/>
      <c r="K256" s="72"/>
      <c r="L256" s="21"/>
      <c r="M256" s="86"/>
      <c r="N256" s="74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</row>
    <row r="257" spans="1:34">
      <c r="A257" s="21"/>
      <c r="B257" s="21"/>
      <c r="C257" s="21"/>
      <c r="D257" s="21"/>
      <c r="E257" s="21"/>
      <c r="F257" s="21"/>
      <c r="G257" s="21"/>
      <c r="H257" s="21"/>
      <c r="I257" s="21"/>
      <c r="J257" s="86"/>
      <c r="K257" s="72"/>
      <c r="L257" s="21"/>
      <c r="M257" s="86"/>
      <c r="N257" s="74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</row>
    <row r="258" spans="1:34">
      <c r="A258" s="21"/>
      <c r="B258" s="21"/>
      <c r="C258" s="21"/>
      <c r="D258" s="21"/>
      <c r="E258" s="21"/>
      <c r="F258" s="21"/>
      <c r="G258" s="21"/>
      <c r="H258" s="21"/>
      <c r="I258" s="21"/>
      <c r="J258" s="86"/>
      <c r="K258" s="72"/>
      <c r="L258" s="21"/>
      <c r="M258" s="86"/>
      <c r="N258" s="74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</row>
    <row r="259" spans="1:34">
      <c r="A259" s="21"/>
      <c r="B259" s="21"/>
      <c r="C259" s="21"/>
      <c r="D259" s="21"/>
      <c r="E259" s="21"/>
      <c r="F259" s="21"/>
      <c r="G259" s="21"/>
      <c r="H259" s="21"/>
      <c r="I259" s="21"/>
      <c r="J259" s="86"/>
      <c r="K259" s="72"/>
      <c r="L259" s="21"/>
      <c r="M259" s="86"/>
      <c r="N259" s="74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</row>
    <row r="260" spans="1:34">
      <c r="A260" s="21"/>
      <c r="B260" s="21"/>
      <c r="C260" s="21"/>
      <c r="D260" s="21"/>
      <c r="E260" s="21"/>
      <c r="F260" s="21"/>
      <c r="G260" s="21"/>
      <c r="H260" s="21"/>
      <c r="I260" s="21"/>
      <c r="J260" s="86"/>
      <c r="K260" s="72"/>
      <c r="L260" s="21"/>
      <c r="M260" s="86"/>
      <c r="N260" s="74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</row>
    <row r="261" spans="1:34">
      <c r="A261" s="21"/>
      <c r="B261" s="21"/>
      <c r="C261" s="21"/>
      <c r="D261" s="21"/>
      <c r="E261" s="21"/>
      <c r="F261" s="21"/>
      <c r="G261" s="21"/>
      <c r="H261" s="21"/>
      <c r="I261" s="21"/>
      <c r="J261" s="86"/>
      <c r="K261" s="72"/>
      <c r="L261" s="21"/>
      <c r="M261" s="86"/>
      <c r="N261" s="74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</row>
    <row r="262" spans="1:34">
      <c r="A262" s="21"/>
      <c r="B262" s="21"/>
      <c r="C262" s="21"/>
      <c r="D262" s="21"/>
      <c r="E262" s="21"/>
      <c r="F262" s="21"/>
      <c r="G262" s="21"/>
      <c r="H262" s="21"/>
      <c r="I262" s="21"/>
      <c r="J262" s="86"/>
      <c r="K262" s="72"/>
      <c r="L262" s="21"/>
      <c r="M262" s="86"/>
      <c r="N262" s="74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</row>
    <row r="263" spans="1:34">
      <c r="A263" s="21"/>
      <c r="B263" s="21"/>
      <c r="C263" s="21"/>
      <c r="D263" s="21"/>
      <c r="E263" s="21"/>
      <c r="F263" s="21"/>
      <c r="G263" s="21"/>
      <c r="H263" s="21"/>
      <c r="I263" s="21"/>
      <c r="J263" s="86"/>
      <c r="K263" s="72"/>
      <c r="L263" s="21"/>
      <c r="M263" s="86"/>
      <c r="N263" s="74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</row>
    <row r="264" spans="1:34">
      <c r="A264" s="21"/>
      <c r="B264" s="21"/>
      <c r="C264" s="21"/>
      <c r="D264" s="21"/>
      <c r="E264" s="21"/>
      <c r="F264" s="21"/>
      <c r="G264" s="21"/>
      <c r="H264" s="21"/>
      <c r="I264" s="21"/>
      <c r="J264" s="86"/>
      <c r="K264" s="72"/>
      <c r="L264" s="21"/>
      <c r="M264" s="86"/>
      <c r="N264" s="74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</row>
    <row r="265" spans="1:34">
      <c r="A265" s="21"/>
      <c r="B265" s="21"/>
      <c r="C265" s="21"/>
      <c r="D265" s="21"/>
      <c r="E265" s="21"/>
      <c r="F265" s="21"/>
      <c r="G265" s="21"/>
      <c r="H265" s="21"/>
      <c r="I265" s="21"/>
      <c r="J265" s="86"/>
      <c r="K265" s="72"/>
      <c r="L265" s="21"/>
      <c r="M265" s="86"/>
      <c r="N265" s="74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</row>
    <row r="266" spans="1:34">
      <c r="A266" s="21"/>
      <c r="B266" s="21"/>
      <c r="C266" s="21"/>
      <c r="D266" s="21"/>
      <c r="E266" s="21"/>
      <c r="F266" s="21"/>
      <c r="G266" s="21"/>
      <c r="H266" s="21"/>
      <c r="I266" s="21"/>
      <c r="J266" s="86"/>
      <c r="K266" s="72"/>
      <c r="L266" s="21"/>
      <c r="M266" s="86"/>
      <c r="N266" s="74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</row>
    <row r="267" spans="1:34">
      <c r="A267" s="21"/>
      <c r="B267" s="21"/>
      <c r="C267" s="21"/>
      <c r="D267" s="21"/>
      <c r="E267" s="21"/>
      <c r="F267" s="21"/>
      <c r="G267" s="21"/>
      <c r="H267" s="21"/>
      <c r="I267" s="21"/>
      <c r="J267" s="86"/>
      <c r="K267" s="72"/>
      <c r="L267" s="21"/>
      <c r="M267" s="86"/>
      <c r="N267" s="74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</row>
    <row r="268" spans="1:34">
      <c r="A268" s="21"/>
      <c r="B268" s="21"/>
      <c r="C268" s="21"/>
      <c r="D268" s="21"/>
      <c r="E268" s="21"/>
      <c r="F268" s="21"/>
      <c r="G268" s="21"/>
      <c r="H268" s="21"/>
      <c r="I268" s="21"/>
      <c r="J268" s="86"/>
      <c r="K268" s="72"/>
      <c r="L268" s="21"/>
      <c r="M268" s="86"/>
      <c r="N268" s="74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</row>
    <row r="269" spans="1:34">
      <c r="A269" s="21"/>
      <c r="B269" s="21"/>
      <c r="C269" s="21"/>
      <c r="D269" s="21"/>
      <c r="E269" s="21"/>
      <c r="F269" s="21"/>
      <c r="G269" s="21"/>
      <c r="H269" s="21"/>
      <c r="I269" s="21"/>
      <c r="J269" s="86"/>
      <c r="K269" s="72"/>
      <c r="L269" s="21"/>
      <c r="M269" s="86"/>
      <c r="N269" s="74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</row>
    <row r="270" spans="1:34">
      <c r="A270" s="21"/>
      <c r="B270" s="21"/>
      <c r="C270" s="21"/>
      <c r="D270" s="21"/>
      <c r="E270" s="21"/>
      <c r="F270" s="21"/>
      <c r="G270" s="21"/>
      <c r="H270" s="21"/>
      <c r="I270" s="21"/>
      <c r="J270" s="86"/>
      <c r="K270" s="72"/>
      <c r="L270" s="21"/>
      <c r="M270" s="86"/>
      <c r="N270" s="74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</row>
    <row r="271" spans="1:34">
      <c r="A271" s="21"/>
      <c r="B271" s="21"/>
      <c r="C271" s="21"/>
      <c r="D271" s="21"/>
      <c r="E271" s="21"/>
      <c r="F271" s="21"/>
      <c r="G271" s="21"/>
      <c r="H271" s="21"/>
      <c r="I271" s="21"/>
      <c r="J271" s="86"/>
      <c r="K271" s="72"/>
      <c r="L271" s="21"/>
      <c r="M271" s="86"/>
      <c r="N271" s="74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</row>
    <row r="272" spans="1:34">
      <c r="A272" s="21"/>
      <c r="B272" s="21"/>
      <c r="C272" s="21"/>
      <c r="D272" s="21"/>
      <c r="E272" s="21"/>
      <c r="F272" s="21"/>
      <c r="G272" s="21"/>
      <c r="H272" s="21"/>
      <c r="I272" s="21"/>
      <c r="J272" s="86"/>
      <c r="K272" s="72"/>
      <c r="L272" s="21"/>
      <c r="M272" s="86"/>
      <c r="N272" s="74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</row>
    <row r="273" spans="1:34">
      <c r="A273" s="21"/>
      <c r="B273" s="21"/>
      <c r="C273" s="21"/>
      <c r="D273" s="21"/>
      <c r="E273" s="21"/>
      <c r="F273" s="21"/>
      <c r="G273" s="21"/>
      <c r="H273" s="21"/>
      <c r="I273" s="21"/>
      <c r="J273" s="86"/>
      <c r="K273" s="72"/>
      <c r="L273" s="21"/>
      <c r="M273" s="86"/>
      <c r="N273" s="74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</row>
    <row r="274" spans="1:34">
      <c r="A274" s="21"/>
      <c r="B274" s="21"/>
      <c r="C274" s="21"/>
      <c r="D274" s="21"/>
      <c r="E274" s="21"/>
      <c r="F274" s="21"/>
      <c r="G274" s="21"/>
      <c r="H274" s="21"/>
      <c r="I274" s="21"/>
      <c r="J274" s="86"/>
      <c r="K274" s="72"/>
      <c r="L274" s="21"/>
      <c r="M274" s="86"/>
      <c r="N274" s="74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</row>
    <row r="275" spans="1:34">
      <c r="A275" s="21"/>
      <c r="B275" s="21"/>
      <c r="C275" s="21"/>
      <c r="D275" s="21"/>
      <c r="E275" s="21"/>
      <c r="F275" s="21"/>
      <c r="G275" s="21"/>
      <c r="H275" s="21"/>
      <c r="I275" s="21"/>
      <c r="J275" s="86"/>
      <c r="K275" s="72"/>
      <c r="L275" s="21"/>
      <c r="M275" s="86"/>
      <c r="N275" s="74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</row>
    <row r="276" spans="1:34">
      <c r="A276" s="21"/>
      <c r="B276" s="21"/>
      <c r="C276" s="21"/>
      <c r="D276" s="21"/>
      <c r="E276" s="21"/>
      <c r="F276" s="21"/>
      <c r="G276" s="21"/>
      <c r="H276" s="21"/>
      <c r="I276" s="21"/>
      <c r="J276" s="86"/>
      <c r="K276" s="72"/>
      <c r="L276" s="21"/>
      <c r="M276" s="86"/>
      <c r="N276" s="74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</row>
    <row r="277" spans="1:34">
      <c r="A277" s="21"/>
      <c r="B277" s="21"/>
      <c r="C277" s="21"/>
      <c r="D277" s="21"/>
      <c r="E277" s="21"/>
      <c r="F277" s="21"/>
      <c r="G277" s="21"/>
      <c r="H277" s="21"/>
      <c r="I277" s="21"/>
      <c r="J277" s="86"/>
      <c r="K277" s="72"/>
      <c r="L277" s="21"/>
      <c r="M277" s="86"/>
      <c r="N277" s="74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</row>
    <row r="278" spans="1:34">
      <c r="A278" s="21"/>
      <c r="B278" s="21"/>
      <c r="C278" s="21"/>
      <c r="D278" s="21"/>
      <c r="E278" s="21"/>
      <c r="F278" s="21"/>
      <c r="G278" s="21"/>
      <c r="H278" s="21"/>
      <c r="I278" s="21"/>
      <c r="J278" s="86"/>
      <c r="K278" s="72"/>
      <c r="L278" s="21"/>
      <c r="M278" s="86"/>
      <c r="N278" s="74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</row>
    <row r="279" spans="1:34">
      <c r="A279" s="21"/>
      <c r="B279" s="21"/>
      <c r="C279" s="21"/>
      <c r="D279" s="21"/>
      <c r="E279" s="21"/>
      <c r="F279" s="21"/>
      <c r="G279" s="21"/>
      <c r="H279" s="21"/>
      <c r="I279" s="21"/>
      <c r="J279" s="86"/>
      <c r="K279" s="72"/>
      <c r="L279" s="21"/>
      <c r="M279" s="86"/>
      <c r="N279" s="74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</row>
    <row r="280" spans="1:34">
      <c r="A280" s="21"/>
      <c r="B280" s="21"/>
      <c r="C280" s="21"/>
      <c r="D280" s="21"/>
      <c r="E280" s="21"/>
      <c r="F280" s="21"/>
      <c r="G280" s="21"/>
      <c r="H280" s="21"/>
      <c r="I280" s="21"/>
      <c r="J280" s="86"/>
      <c r="K280" s="72"/>
      <c r="L280" s="21"/>
      <c r="M280" s="86"/>
      <c r="N280" s="74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</row>
    <row r="281" spans="1:34">
      <c r="A281" s="21"/>
      <c r="B281" s="21"/>
      <c r="C281" s="21"/>
      <c r="D281" s="21"/>
      <c r="E281" s="21"/>
      <c r="F281" s="21"/>
      <c r="G281" s="21"/>
      <c r="H281" s="21"/>
      <c r="I281" s="21"/>
      <c r="J281" s="86"/>
      <c r="K281" s="72"/>
      <c r="L281" s="21"/>
      <c r="M281" s="86"/>
      <c r="N281" s="74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</row>
    <row r="282" spans="1:34">
      <c r="A282" s="21"/>
      <c r="B282" s="21"/>
      <c r="C282" s="21"/>
      <c r="D282" s="21"/>
      <c r="E282" s="21"/>
      <c r="F282" s="21"/>
      <c r="G282" s="21"/>
      <c r="H282" s="21"/>
      <c r="I282" s="21"/>
      <c r="J282" s="86"/>
      <c r="K282" s="72"/>
      <c r="L282" s="21"/>
      <c r="M282" s="86"/>
      <c r="N282" s="74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</row>
    <row r="283" spans="1:34">
      <c r="A283" s="21"/>
      <c r="B283" s="21"/>
      <c r="C283" s="21"/>
      <c r="D283" s="21"/>
      <c r="E283" s="21"/>
      <c r="F283" s="21"/>
      <c r="G283" s="21"/>
      <c r="H283" s="21"/>
      <c r="I283" s="21"/>
      <c r="J283" s="86"/>
      <c r="K283" s="72"/>
      <c r="L283" s="21"/>
      <c r="M283" s="86"/>
      <c r="N283" s="74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</row>
    <row r="284" spans="1:34">
      <c r="A284" s="21"/>
      <c r="B284" s="21"/>
      <c r="C284" s="21"/>
      <c r="D284" s="21"/>
      <c r="E284" s="21"/>
      <c r="F284" s="21"/>
      <c r="G284" s="21"/>
      <c r="H284" s="21"/>
      <c r="I284" s="21"/>
      <c r="J284" s="86"/>
      <c r="K284" s="72"/>
      <c r="L284" s="21"/>
      <c r="M284" s="86"/>
      <c r="N284" s="74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</row>
    <row r="285" spans="1:34">
      <c r="A285" s="21"/>
      <c r="B285" s="21"/>
      <c r="C285" s="21"/>
      <c r="D285" s="21"/>
      <c r="E285" s="21"/>
      <c r="F285" s="21"/>
      <c r="G285" s="21"/>
      <c r="H285" s="21"/>
      <c r="I285" s="21"/>
      <c r="J285" s="86"/>
      <c r="K285" s="72"/>
      <c r="L285" s="21"/>
      <c r="M285" s="86"/>
      <c r="N285" s="74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</row>
    <row r="286" spans="1:34">
      <c r="A286" s="21"/>
      <c r="B286" s="21"/>
      <c r="C286" s="21"/>
      <c r="D286" s="21"/>
      <c r="E286" s="21"/>
      <c r="F286" s="21"/>
      <c r="G286" s="21"/>
      <c r="H286" s="21"/>
      <c r="I286" s="21"/>
      <c r="J286" s="86"/>
      <c r="K286" s="72"/>
      <c r="L286" s="21"/>
      <c r="M286" s="86"/>
      <c r="N286" s="74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</row>
    <row r="287" spans="1:34">
      <c r="A287" s="21"/>
      <c r="B287" s="21"/>
      <c r="C287" s="21"/>
      <c r="D287" s="21"/>
      <c r="E287" s="21"/>
      <c r="F287" s="21"/>
      <c r="G287" s="21"/>
      <c r="H287" s="21"/>
      <c r="I287" s="21"/>
      <c r="J287" s="86"/>
      <c r="K287" s="72"/>
      <c r="L287" s="21"/>
      <c r="M287" s="86"/>
      <c r="N287" s="74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</row>
    <row r="288" spans="1:34">
      <c r="A288" s="21"/>
      <c r="B288" s="21"/>
      <c r="C288" s="21"/>
      <c r="D288" s="21"/>
      <c r="E288" s="21"/>
      <c r="F288" s="21"/>
      <c r="G288" s="21"/>
      <c r="H288" s="21"/>
      <c r="I288" s="21"/>
      <c r="J288" s="86"/>
      <c r="K288" s="72"/>
      <c r="L288" s="21"/>
      <c r="M288" s="86"/>
      <c r="N288" s="74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</row>
    <row r="289" spans="1:34">
      <c r="A289" s="21"/>
      <c r="B289" s="21"/>
      <c r="C289" s="21"/>
      <c r="D289" s="21"/>
      <c r="E289" s="21"/>
      <c r="F289" s="21"/>
      <c r="G289" s="21"/>
      <c r="H289" s="21"/>
      <c r="I289" s="21"/>
      <c r="J289" s="86"/>
      <c r="K289" s="72"/>
      <c r="L289" s="21"/>
      <c r="M289" s="86"/>
      <c r="N289" s="74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</row>
    <row r="290" spans="1:34">
      <c r="A290" s="21"/>
      <c r="B290" s="21"/>
      <c r="C290" s="21"/>
      <c r="D290" s="21"/>
      <c r="E290" s="21"/>
      <c r="F290" s="21"/>
      <c r="G290" s="21"/>
      <c r="H290" s="21"/>
      <c r="I290" s="21"/>
      <c r="J290" s="86"/>
      <c r="K290" s="72"/>
      <c r="L290" s="21"/>
      <c r="M290" s="86"/>
      <c r="N290" s="74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</row>
    <row r="291" spans="1:34">
      <c r="A291" s="21"/>
      <c r="B291" s="21"/>
      <c r="C291" s="21"/>
      <c r="D291" s="21"/>
      <c r="E291" s="21"/>
      <c r="F291" s="21"/>
      <c r="G291" s="21"/>
      <c r="H291" s="21"/>
      <c r="I291" s="21"/>
      <c r="J291" s="86"/>
      <c r="K291" s="72"/>
      <c r="L291" s="21"/>
      <c r="M291" s="86"/>
      <c r="N291" s="74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</row>
    <row r="292" spans="1:34">
      <c r="A292" s="21"/>
      <c r="B292" s="21"/>
      <c r="C292" s="21"/>
      <c r="D292" s="21"/>
      <c r="E292" s="21"/>
      <c r="F292" s="21"/>
      <c r="G292" s="21"/>
      <c r="H292" s="21"/>
      <c r="I292" s="21"/>
      <c r="J292" s="86"/>
      <c r="K292" s="72"/>
      <c r="L292" s="21"/>
      <c r="M292" s="86"/>
      <c r="N292" s="74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</row>
    <row r="293" spans="1:34">
      <c r="A293" s="21"/>
      <c r="B293" s="21"/>
      <c r="C293" s="21"/>
      <c r="D293" s="21"/>
      <c r="E293" s="21"/>
      <c r="F293" s="21"/>
      <c r="G293" s="21"/>
      <c r="H293" s="21"/>
      <c r="I293" s="21"/>
      <c r="J293" s="86"/>
      <c r="K293" s="72"/>
      <c r="L293" s="21"/>
      <c r="M293" s="86"/>
      <c r="N293" s="74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</row>
    <row r="294" spans="1:34">
      <c r="A294" s="21"/>
      <c r="B294" s="21"/>
      <c r="C294" s="21"/>
      <c r="D294" s="21"/>
      <c r="E294" s="21"/>
      <c r="F294" s="21"/>
      <c r="G294" s="21"/>
      <c r="H294" s="21"/>
      <c r="I294" s="21"/>
      <c r="J294" s="86"/>
      <c r="K294" s="72"/>
      <c r="L294" s="21"/>
      <c r="M294" s="86"/>
      <c r="N294" s="74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</row>
    <row r="295" spans="1:34">
      <c r="A295" s="21"/>
      <c r="B295" s="21"/>
      <c r="C295" s="21"/>
      <c r="D295" s="21"/>
      <c r="E295" s="21"/>
      <c r="F295" s="21"/>
      <c r="G295" s="21"/>
      <c r="H295" s="21"/>
      <c r="I295" s="21"/>
      <c r="J295" s="86"/>
      <c r="K295" s="72"/>
      <c r="L295" s="21"/>
      <c r="M295" s="86"/>
      <c r="N295" s="74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</row>
    <row r="296" spans="1:34">
      <c r="A296" s="21"/>
      <c r="B296" s="21"/>
      <c r="C296" s="21"/>
      <c r="D296" s="21"/>
      <c r="E296" s="21"/>
      <c r="F296" s="21"/>
      <c r="G296" s="21"/>
      <c r="H296" s="21"/>
      <c r="I296" s="21"/>
      <c r="J296" s="86"/>
      <c r="K296" s="72"/>
      <c r="L296" s="21"/>
      <c r="M296" s="86"/>
      <c r="N296" s="74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</row>
    <row r="297" spans="1:34">
      <c r="A297" s="21"/>
      <c r="B297" s="21"/>
      <c r="C297" s="21"/>
      <c r="D297" s="21"/>
      <c r="E297" s="21"/>
      <c r="F297" s="21"/>
      <c r="G297" s="21"/>
      <c r="H297" s="21"/>
      <c r="I297" s="21"/>
      <c r="J297" s="86"/>
      <c r="K297" s="72"/>
      <c r="L297" s="21"/>
      <c r="M297" s="86"/>
      <c r="N297" s="74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</row>
    <row r="298" spans="1:34">
      <c r="A298" s="21"/>
      <c r="B298" s="21"/>
      <c r="C298" s="21"/>
      <c r="D298" s="21"/>
      <c r="E298" s="21"/>
      <c r="F298" s="21"/>
      <c r="G298" s="21"/>
      <c r="H298" s="21"/>
      <c r="I298" s="21"/>
      <c r="J298" s="86"/>
      <c r="K298" s="72"/>
      <c r="L298" s="21"/>
      <c r="M298" s="86"/>
      <c r="N298" s="74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</row>
    <row r="299" spans="1:34">
      <c r="A299" s="21"/>
      <c r="B299" s="21"/>
      <c r="C299" s="21"/>
      <c r="D299" s="21"/>
      <c r="E299" s="21"/>
      <c r="F299" s="21"/>
      <c r="G299" s="21"/>
      <c r="H299" s="21"/>
      <c r="I299" s="21"/>
      <c r="J299" s="86"/>
      <c r="K299" s="72"/>
      <c r="L299" s="21"/>
      <c r="M299" s="86"/>
      <c r="N299" s="74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</row>
    <row r="300" spans="1:34">
      <c r="A300" s="21"/>
      <c r="B300" s="21"/>
      <c r="C300" s="21"/>
      <c r="D300" s="21"/>
      <c r="E300" s="21"/>
      <c r="F300" s="21"/>
      <c r="G300" s="21"/>
      <c r="H300" s="21"/>
      <c r="I300" s="21"/>
      <c r="J300" s="86"/>
      <c r="K300" s="72"/>
      <c r="L300" s="21"/>
      <c r="M300" s="86"/>
      <c r="N300" s="74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</row>
    <row r="301" spans="1:34">
      <c r="A301" s="21"/>
      <c r="B301" s="21"/>
      <c r="C301" s="21"/>
      <c r="D301" s="21"/>
      <c r="E301" s="21"/>
      <c r="F301" s="21"/>
      <c r="G301" s="21"/>
      <c r="H301" s="21"/>
      <c r="I301" s="21"/>
      <c r="J301" s="86"/>
      <c r="K301" s="72"/>
      <c r="L301" s="21"/>
      <c r="M301" s="86"/>
      <c r="N301" s="74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</row>
    <row r="302" spans="1:34">
      <c r="A302" s="21"/>
      <c r="B302" s="21"/>
      <c r="C302" s="21"/>
      <c r="D302" s="21"/>
      <c r="E302" s="21"/>
      <c r="F302" s="21"/>
      <c r="G302" s="21"/>
      <c r="H302" s="21"/>
      <c r="I302" s="21"/>
      <c r="J302" s="86"/>
      <c r="K302" s="72"/>
      <c r="L302" s="21"/>
      <c r="M302" s="86"/>
      <c r="N302" s="74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</row>
    <row r="303" spans="1:34">
      <c r="A303" s="21"/>
      <c r="B303" s="21"/>
      <c r="C303" s="21"/>
      <c r="D303" s="21"/>
      <c r="E303" s="21"/>
      <c r="F303" s="21"/>
      <c r="G303" s="21"/>
      <c r="H303" s="21"/>
      <c r="I303" s="21"/>
      <c r="J303" s="86"/>
      <c r="K303" s="72"/>
      <c r="L303" s="21"/>
      <c r="M303" s="86"/>
      <c r="N303" s="74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</row>
    <row r="304" spans="1:34">
      <c r="A304" s="21"/>
      <c r="B304" s="21"/>
      <c r="C304" s="21"/>
      <c r="D304" s="21"/>
      <c r="E304" s="21"/>
      <c r="F304" s="21"/>
      <c r="G304" s="21"/>
      <c r="H304" s="21"/>
      <c r="I304" s="21"/>
      <c r="J304" s="86"/>
      <c r="K304" s="72"/>
      <c r="L304" s="21"/>
      <c r="M304" s="86"/>
      <c r="N304" s="74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</row>
    <row r="305" spans="1:34">
      <c r="A305" s="21"/>
      <c r="B305" s="21"/>
      <c r="C305" s="21"/>
      <c r="D305" s="21"/>
      <c r="E305" s="21"/>
      <c r="F305" s="21"/>
      <c r="G305" s="21"/>
      <c r="H305" s="21"/>
      <c r="I305" s="21"/>
      <c r="J305" s="86"/>
      <c r="K305" s="72"/>
      <c r="L305" s="21"/>
      <c r="M305" s="86"/>
      <c r="N305" s="74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</row>
    <row r="306" spans="1:34">
      <c r="A306" s="21"/>
      <c r="B306" s="21"/>
      <c r="C306" s="21"/>
      <c r="D306" s="21"/>
      <c r="E306" s="21"/>
      <c r="F306" s="21"/>
      <c r="G306" s="21"/>
      <c r="H306" s="21"/>
      <c r="I306" s="21"/>
      <c r="J306" s="86"/>
      <c r="K306" s="72"/>
      <c r="L306" s="21"/>
      <c r="M306" s="86"/>
      <c r="N306" s="74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</row>
    <row r="307" spans="1:34">
      <c r="A307" s="21"/>
      <c r="B307" s="21"/>
      <c r="C307" s="21"/>
      <c r="D307" s="21"/>
      <c r="E307" s="21"/>
      <c r="F307" s="21"/>
      <c r="G307" s="21"/>
      <c r="H307" s="21"/>
      <c r="I307" s="21"/>
      <c r="J307" s="86"/>
      <c r="K307" s="72"/>
      <c r="L307" s="21"/>
      <c r="M307" s="86"/>
      <c r="N307" s="74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</row>
    <row r="308" spans="1:34">
      <c r="A308" s="21"/>
      <c r="B308" s="21"/>
      <c r="C308" s="21"/>
      <c r="D308" s="21"/>
      <c r="E308" s="21"/>
      <c r="F308" s="21"/>
      <c r="G308" s="21"/>
      <c r="H308" s="21"/>
      <c r="I308" s="21"/>
      <c r="J308" s="86"/>
      <c r="K308" s="72"/>
      <c r="L308" s="21"/>
      <c r="M308" s="86"/>
      <c r="N308" s="74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</row>
    <row r="309" spans="1:34">
      <c r="A309" s="21"/>
      <c r="B309" s="21"/>
      <c r="C309" s="21"/>
      <c r="D309" s="21"/>
      <c r="E309" s="21"/>
      <c r="F309" s="21"/>
      <c r="G309" s="21"/>
      <c r="H309" s="21"/>
      <c r="I309" s="21"/>
      <c r="J309" s="86"/>
      <c r="K309" s="72"/>
      <c r="L309" s="21"/>
      <c r="M309" s="86"/>
      <c r="N309" s="74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</row>
    <row r="310" spans="1:34">
      <c r="A310" s="21"/>
      <c r="B310" s="21"/>
      <c r="C310" s="21"/>
      <c r="D310" s="21"/>
      <c r="E310" s="21"/>
      <c r="F310" s="21"/>
      <c r="G310" s="21"/>
      <c r="H310" s="21"/>
      <c r="I310" s="21"/>
      <c r="J310" s="86"/>
      <c r="K310" s="72"/>
      <c r="L310" s="21"/>
      <c r="M310" s="86"/>
      <c r="N310" s="74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</row>
    <row r="311" spans="1:34">
      <c r="A311" s="21"/>
      <c r="B311" s="21"/>
      <c r="C311" s="21"/>
      <c r="D311" s="21"/>
      <c r="E311" s="21"/>
      <c r="F311" s="21"/>
      <c r="G311" s="21"/>
      <c r="H311" s="21"/>
      <c r="I311" s="21"/>
      <c r="J311" s="86"/>
      <c r="K311" s="72"/>
      <c r="L311" s="21"/>
      <c r="M311" s="86"/>
      <c r="N311" s="74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</row>
    <row r="312" spans="1:34">
      <c r="A312" s="21"/>
      <c r="B312" s="21"/>
      <c r="C312" s="21"/>
      <c r="D312" s="21"/>
      <c r="E312" s="21"/>
      <c r="F312" s="21"/>
      <c r="G312" s="21"/>
      <c r="H312" s="21"/>
      <c r="I312" s="21"/>
      <c r="J312" s="86"/>
      <c r="K312" s="72"/>
      <c r="L312" s="21"/>
      <c r="M312" s="86"/>
      <c r="N312" s="74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</row>
    <row r="313" spans="1:34">
      <c r="A313" s="21"/>
      <c r="B313" s="21"/>
      <c r="C313" s="21"/>
      <c r="D313" s="21"/>
      <c r="E313" s="21"/>
      <c r="F313" s="21"/>
      <c r="G313" s="21"/>
      <c r="H313" s="21"/>
      <c r="I313" s="21"/>
      <c r="J313" s="86"/>
      <c r="K313" s="72"/>
      <c r="L313" s="21"/>
      <c r="M313" s="86"/>
      <c r="N313" s="74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</row>
    <row r="314" spans="1:34">
      <c r="A314" s="21"/>
      <c r="B314" s="21"/>
      <c r="C314" s="21"/>
      <c r="D314" s="21"/>
      <c r="E314" s="21"/>
      <c r="F314" s="21"/>
      <c r="G314" s="21"/>
      <c r="H314" s="21"/>
      <c r="I314" s="21"/>
      <c r="J314" s="86"/>
      <c r="K314" s="72"/>
      <c r="L314" s="21"/>
      <c r="M314" s="86"/>
      <c r="N314" s="74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</row>
    <row r="315" spans="1:34">
      <c r="A315" s="21"/>
      <c r="B315" s="21"/>
      <c r="C315" s="21"/>
      <c r="D315" s="21"/>
      <c r="E315" s="21"/>
      <c r="F315" s="21"/>
      <c r="G315" s="21"/>
      <c r="H315" s="21"/>
      <c r="I315" s="21"/>
      <c r="J315" s="86"/>
      <c r="K315" s="72"/>
      <c r="L315" s="21"/>
      <c r="M315" s="86"/>
      <c r="N315" s="74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</row>
    <row r="316" spans="1:34">
      <c r="A316" s="21"/>
      <c r="B316" s="21"/>
      <c r="C316" s="21"/>
      <c r="D316" s="21"/>
      <c r="E316" s="21"/>
      <c r="F316" s="21"/>
      <c r="G316" s="21"/>
      <c r="H316" s="21"/>
      <c r="I316" s="21"/>
      <c r="J316" s="86"/>
      <c r="K316" s="72"/>
      <c r="L316" s="21"/>
      <c r="M316" s="86"/>
      <c r="N316" s="74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</row>
    <row r="317" spans="1:34">
      <c r="A317" s="21"/>
      <c r="B317" s="21"/>
      <c r="C317" s="21"/>
      <c r="D317" s="21"/>
      <c r="E317" s="21"/>
      <c r="F317" s="21"/>
      <c r="G317" s="21"/>
      <c r="H317" s="21"/>
      <c r="I317" s="21"/>
      <c r="J317" s="86"/>
      <c r="K317" s="72"/>
      <c r="L317" s="21"/>
      <c r="M317" s="86"/>
      <c r="N317" s="74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</row>
    <row r="318" spans="1:34">
      <c r="A318" s="21"/>
      <c r="B318" s="21"/>
      <c r="C318" s="21"/>
      <c r="D318" s="21"/>
      <c r="E318" s="21"/>
      <c r="F318" s="21"/>
      <c r="G318" s="21"/>
      <c r="H318" s="21"/>
      <c r="I318" s="21"/>
      <c r="J318" s="86"/>
      <c r="K318" s="72"/>
      <c r="L318" s="21"/>
      <c r="M318" s="86"/>
      <c r="N318" s="74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</row>
    <row r="319" spans="1:34">
      <c r="A319" s="21"/>
      <c r="B319" s="21"/>
      <c r="C319" s="21"/>
      <c r="D319" s="21"/>
      <c r="E319" s="21"/>
      <c r="F319" s="21"/>
      <c r="G319" s="21"/>
      <c r="H319" s="21"/>
      <c r="I319" s="21"/>
      <c r="J319" s="86"/>
      <c r="K319" s="72"/>
      <c r="L319" s="21"/>
      <c r="M319" s="86"/>
      <c r="N319" s="74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</row>
    <row r="320" spans="1:34">
      <c r="A320" s="21"/>
      <c r="B320" s="21"/>
      <c r="C320" s="21"/>
      <c r="D320" s="21"/>
      <c r="E320" s="21"/>
      <c r="F320" s="21"/>
      <c r="G320" s="21"/>
      <c r="H320" s="21"/>
      <c r="I320" s="21"/>
      <c r="J320" s="86"/>
      <c r="K320" s="72"/>
      <c r="L320" s="21"/>
      <c r="M320" s="86"/>
      <c r="N320" s="74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</row>
    <row r="321" spans="1:34">
      <c r="A321" s="21"/>
      <c r="B321" s="21"/>
      <c r="C321" s="21"/>
      <c r="D321" s="21"/>
      <c r="E321" s="21"/>
      <c r="F321" s="21"/>
      <c r="G321" s="21"/>
      <c r="H321" s="21"/>
      <c r="I321" s="21"/>
      <c r="J321" s="86"/>
      <c r="K321" s="72"/>
      <c r="L321" s="21"/>
      <c r="M321" s="86"/>
      <c r="N321" s="74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</row>
    <row r="322" spans="1:34">
      <c r="A322" s="21"/>
      <c r="B322" s="21"/>
      <c r="C322" s="21"/>
      <c r="D322" s="21"/>
      <c r="E322" s="21"/>
      <c r="F322" s="21"/>
      <c r="G322" s="21"/>
      <c r="H322" s="21"/>
      <c r="I322" s="21"/>
      <c r="J322" s="86"/>
      <c r="K322" s="72"/>
      <c r="L322" s="21"/>
      <c r="M322" s="86"/>
      <c r="N322" s="74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</row>
    <row r="323" spans="1:34">
      <c r="A323" s="21"/>
      <c r="B323" s="21"/>
      <c r="C323" s="21"/>
      <c r="D323" s="21"/>
      <c r="E323" s="21"/>
      <c r="F323" s="21"/>
      <c r="G323" s="21"/>
      <c r="H323" s="21"/>
      <c r="I323" s="21"/>
      <c r="J323" s="86"/>
      <c r="K323" s="72"/>
      <c r="L323" s="21"/>
      <c r="M323" s="86"/>
      <c r="N323" s="74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</row>
    <row r="324" spans="1:34">
      <c r="A324" s="21"/>
      <c r="B324" s="21"/>
      <c r="C324" s="21"/>
      <c r="D324" s="21"/>
      <c r="E324" s="21"/>
      <c r="F324" s="21"/>
      <c r="G324" s="21"/>
      <c r="H324" s="21"/>
      <c r="I324" s="21"/>
      <c r="J324" s="86"/>
      <c r="K324" s="72"/>
      <c r="L324" s="21"/>
      <c r="M324" s="86"/>
      <c r="N324" s="74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</row>
    <row r="325" spans="1:34">
      <c r="A325" s="21"/>
      <c r="B325" s="21"/>
      <c r="C325" s="21"/>
      <c r="D325" s="21"/>
      <c r="E325" s="21"/>
      <c r="F325" s="21"/>
      <c r="G325" s="21"/>
      <c r="H325" s="21"/>
      <c r="I325" s="21"/>
      <c r="J325" s="86"/>
      <c r="K325" s="72"/>
      <c r="L325" s="21"/>
      <c r="M325" s="86"/>
      <c r="N325" s="74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</row>
    <row r="326" spans="1:34">
      <c r="A326" s="21"/>
      <c r="B326" s="21"/>
      <c r="C326" s="21"/>
      <c r="D326" s="21"/>
      <c r="E326" s="21"/>
      <c r="F326" s="21"/>
      <c r="G326" s="21"/>
      <c r="H326" s="21"/>
      <c r="I326" s="21"/>
      <c r="J326" s="86"/>
      <c r="K326" s="72"/>
      <c r="L326" s="21"/>
      <c r="M326" s="86"/>
      <c r="N326" s="74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</row>
    <row r="327" spans="1:34">
      <c r="A327" s="21"/>
      <c r="B327" s="21"/>
      <c r="C327" s="21"/>
      <c r="D327" s="21"/>
      <c r="E327" s="21"/>
      <c r="F327" s="21"/>
      <c r="G327" s="21"/>
      <c r="H327" s="21"/>
      <c r="I327" s="21"/>
      <c r="J327" s="86"/>
      <c r="K327" s="72"/>
      <c r="L327" s="21"/>
      <c r="M327" s="86"/>
      <c r="N327" s="74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</row>
    <row r="328" spans="1:34">
      <c r="A328" s="21"/>
      <c r="B328" s="21"/>
      <c r="C328" s="21"/>
      <c r="D328" s="21"/>
      <c r="E328" s="21"/>
      <c r="F328" s="21"/>
      <c r="G328" s="21"/>
      <c r="H328" s="21"/>
      <c r="I328" s="21"/>
      <c r="J328" s="86"/>
      <c r="K328" s="72"/>
      <c r="L328" s="21"/>
      <c r="M328" s="86"/>
      <c r="N328" s="74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</row>
    <row r="329" spans="1:34">
      <c r="A329" s="21"/>
      <c r="B329" s="21"/>
      <c r="C329" s="21"/>
      <c r="D329" s="21"/>
      <c r="E329" s="21"/>
      <c r="F329" s="21"/>
      <c r="G329" s="21"/>
      <c r="H329" s="21"/>
      <c r="I329" s="21"/>
      <c r="J329" s="86"/>
      <c r="K329" s="72"/>
      <c r="L329" s="21"/>
      <c r="M329" s="86"/>
      <c r="N329" s="74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</row>
    <row r="330" spans="1:34">
      <c r="A330" s="21"/>
      <c r="B330" s="21"/>
      <c r="C330" s="21"/>
      <c r="D330" s="21"/>
      <c r="E330" s="21"/>
      <c r="F330" s="21"/>
      <c r="G330" s="21"/>
      <c r="H330" s="21"/>
      <c r="I330" s="21"/>
      <c r="J330" s="86"/>
      <c r="K330" s="72"/>
      <c r="L330" s="21"/>
      <c r="M330" s="86"/>
      <c r="N330" s="74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</row>
    <row r="331" spans="1:34">
      <c r="A331" s="21"/>
      <c r="B331" s="21"/>
      <c r="C331" s="21"/>
      <c r="D331" s="21"/>
      <c r="E331" s="21"/>
      <c r="F331" s="21"/>
      <c r="G331" s="21"/>
      <c r="H331" s="21"/>
      <c r="I331" s="21"/>
      <c r="J331" s="86"/>
      <c r="K331" s="72"/>
      <c r="L331" s="21"/>
      <c r="M331" s="86"/>
      <c r="N331" s="74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</row>
    <row r="332" spans="1:34">
      <c r="A332" s="21"/>
      <c r="B332" s="21"/>
      <c r="C332" s="21"/>
      <c r="D332" s="21"/>
      <c r="E332" s="21"/>
      <c r="F332" s="21"/>
      <c r="G332" s="21"/>
      <c r="H332" s="21"/>
      <c r="I332" s="21"/>
      <c r="J332" s="86"/>
      <c r="K332" s="72"/>
      <c r="L332" s="21"/>
      <c r="M332" s="86"/>
      <c r="N332" s="74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</row>
    <row r="333" spans="1:34">
      <c r="A333" s="21"/>
      <c r="B333" s="21"/>
      <c r="C333" s="21"/>
      <c r="D333" s="21"/>
      <c r="E333" s="21"/>
      <c r="F333" s="21"/>
      <c r="G333" s="21"/>
      <c r="H333" s="21"/>
      <c r="I333" s="21"/>
      <c r="J333" s="86"/>
      <c r="K333" s="72"/>
      <c r="L333" s="21"/>
      <c r="M333" s="86"/>
      <c r="N333" s="74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</row>
    <row r="334" spans="1:34">
      <c r="A334" s="21"/>
      <c r="B334" s="21"/>
      <c r="C334" s="21"/>
      <c r="D334" s="21"/>
      <c r="E334" s="21"/>
      <c r="F334" s="21"/>
      <c r="G334" s="21"/>
      <c r="H334" s="21"/>
      <c r="I334" s="21"/>
      <c r="J334" s="86"/>
      <c r="K334" s="72"/>
      <c r="L334" s="21"/>
      <c r="M334" s="86"/>
      <c r="N334" s="74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</row>
    <row r="335" spans="1:34">
      <c r="A335" s="21"/>
      <c r="B335" s="21"/>
      <c r="C335" s="21"/>
      <c r="D335" s="21"/>
      <c r="E335" s="21"/>
      <c r="F335" s="21"/>
      <c r="G335" s="21"/>
      <c r="H335" s="21"/>
      <c r="I335" s="21"/>
      <c r="J335" s="86"/>
      <c r="K335" s="72"/>
      <c r="L335" s="21"/>
      <c r="M335" s="86"/>
      <c r="N335" s="74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</row>
    <row r="336" spans="1:34">
      <c r="A336" s="21"/>
      <c r="B336" s="21"/>
      <c r="C336" s="21"/>
      <c r="D336" s="21"/>
      <c r="E336" s="21"/>
      <c r="F336" s="21"/>
      <c r="G336" s="21"/>
      <c r="H336" s="21"/>
      <c r="I336" s="21"/>
      <c r="J336" s="86"/>
      <c r="K336" s="72"/>
      <c r="L336" s="21"/>
      <c r="M336" s="86"/>
      <c r="N336" s="74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</row>
    <row r="337" spans="1:34">
      <c r="A337" s="21"/>
      <c r="B337" s="21"/>
      <c r="C337" s="21"/>
      <c r="D337" s="21"/>
      <c r="E337" s="21"/>
      <c r="F337" s="21"/>
      <c r="G337" s="21"/>
      <c r="H337" s="21"/>
      <c r="I337" s="21"/>
      <c r="J337" s="86"/>
      <c r="K337" s="72"/>
      <c r="L337" s="21"/>
      <c r="M337" s="86"/>
      <c r="N337" s="74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</row>
    <row r="338" spans="1:34">
      <c r="A338" s="21"/>
      <c r="B338" s="21"/>
      <c r="C338" s="21"/>
      <c r="D338" s="21"/>
      <c r="E338" s="21"/>
      <c r="F338" s="21"/>
      <c r="G338" s="21"/>
      <c r="H338" s="21"/>
      <c r="I338" s="21"/>
      <c r="J338" s="86"/>
      <c r="K338" s="72"/>
      <c r="L338" s="21"/>
      <c r="M338" s="86"/>
      <c r="N338" s="74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</row>
    <row r="339" spans="1:34">
      <c r="A339" s="21"/>
      <c r="B339" s="21"/>
      <c r="C339" s="21"/>
      <c r="D339" s="21"/>
      <c r="E339" s="21"/>
      <c r="F339" s="21"/>
      <c r="G339" s="21"/>
      <c r="H339" s="21"/>
      <c r="I339" s="21"/>
      <c r="J339" s="86"/>
      <c r="K339" s="72"/>
      <c r="L339" s="21"/>
      <c r="M339" s="86"/>
      <c r="N339" s="74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</row>
    <row r="340" spans="1:34">
      <c r="A340" s="21"/>
      <c r="B340" s="21"/>
      <c r="C340" s="21"/>
      <c r="D340" s="21"/>
      <c r="E340" s="21"/>
      <c r="F340" s="21"/>
      <c r="G340" s="21"/>
      <c r="H340" s="21"/>
      <c r="I340" s="21"/>
      <c r="J340" s="86"/>
      <c r="K340" s="72"/>
      <c r="L340" s="21"/>
      <c r="M340" s="86"/>
      <c r="N340" s="74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</row>
    <row r="341" spans="1:34">
      <c r="A341" s="21"/>
      <c r="B341" s="21"/>
      <c r="C341" s="21"/>
      <c r="D341" s="21"/>
      <c r="E341" s="21"/>
      <c r="F341" s="21"/>
      <c r="G341" s="21"/>
      <c r="H341" s="21"/>
      <c r="I341" s="21"/>
      <c r="J341" s="86"/>
      <c r="K341" s="72"/>
      <c r="L341" s="21"/>
      <c r="M341" s="86"/>
      <c r="N341" s="74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</row>
    <row r="342" spans="1:34">
      <c r="A342" s="21"/>
      <c r="B342" s="21"/>
      <c r="C342" s="21"/>
      <c r="D342" s="21"/>
      <c r="E342" s="21"/>
      <c r="F342" s="21"/>
      <c r="G342" s="21"/>
      <c r="H342" s="21"/>
      <c r="I342" s="21"/>
      <c r="J342" s="86"/>
      <c r="K342" s="72"/>
      <c r="L342" s="21"/>
      <c r="M342" s="86"/>
      <c r="N342" s="74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</row>
    <row r="343" spans="1:34">
      <c r="A343" s="21"/>
      <c r="B343" s="21"/>
      <c r="C343" s="21"/>
      <c r="D343" s="21"/>
      <c r="E343" s="21"/>
      <c r="F343" s="21"/>
      <c r="G343" s="21"/>
      <c r="H343" s="21"/>
      <c r="I343" s="21"/>
      <c r="J343" s="86"/>
      <c r="K343" s="72"/>
      <c r="L343" s="21"/>
      <c r="M343" s="86"/>
      <c r="N343" s="74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</row>
    <row r="344" spans="1:34">
      <c r="A344" s="21"/>
      <c r="B344" s="21"/>
      <c r="C344" s="21"/>
      <c r="D344" s="21"/>
      <c r="E344" s="21"/>
      <c r="F344" s="21"/>
      <c r="G344" s="21"/>
      <c r="H344" s="21"/>
      <c r="I344" s="21"/>
      <c r="J344" s="86"/>
      <c r="K344" s="72"/>
      <c r="L344" s="21"/>
      <c r="M344" s="86"/>
      <c r="N344" s="74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</row>
    <row r="345" spans="1:34">
      <c r="A345" s="21"/>
      <c r="B345" s="21"/>
      <c r="C345" s="21"/>
      <c r="D345" s="21"/>
      <c r="E345" s="21"/>
      <c r="F345" s="21"/>
      <c r="G345" s="21"/>
      <c r="H345" s="21"/>
      <c r="I345" s="21"/>
      <c r="J345" s="86"/>
      <c r="K345" s="72"/>
      <c r="L345" s="21"/>
      <c r="M345" s="86"/>
      <c r="N345" s="74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</row>
    <row r="346" spans="1:34">
      <c r="A346" s="21"/>
      <c r="B346" s="21"/>
      <c r="C346" s="21"/>
      <c r="D346" s="21"/>
      <c r="E346" s="21"/>
      <c r="F346" s="21"/>
      <c r="G346" s="21"/>
      <c r="H346" s="21"/>
      <c r="I346" s="21"/>
      <c r="J346" s="86"/>
      <c r="K346" s="72"/>
      <c r="L346" s="21"/>
      <c r="M346" s="86"/>
      <c r="N346" s="74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</row>
    <row r="347" spans="1:34">
      <c r="A347" s="21"/>
      <c r="B347" s="21"/>
      <c r="C347" s="21"/>
      <c r="D347" s="21"/>
      <c r="E347" s="21"/>
      <c r="F347" s="21"/>
      <c r="G347" s="21"/>
      <c r="H347" s="21"/>
      <c r="I347" s="21"/>
      <c r="J347" s="86"/>
      <c r="K347" s="72"/>
      <c r="L347" s="21"/>
      <c r="M347" s="86"/>
      <c r="N347" s="74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</row>
    <row r="348" spans="1:34">
      <c r="A348" s="21"/>
      <c r="B348" s="21"/>
      <c r="C348" s="21"/>
      <c r="D348" s="21"/>
      <c r="E348" s="21"/>
      <c r="F348" s="21"/>
      <c r="G348" s="21"/>
      <c r="H348" s="21"/>
      <c r="I348" s="21"/>
      <c r="J348" s="86"/>
      <c r="K348" s="72"/>
      <c r="L348" s="21"/>
      <c r="M348" s="86"/>
      <c r="N348" s="74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</row>
    <row r="349" spans="1:34">
      <c r="A349" s="21"/>
      <c r="B349" s="21"/>
      <c r="C349" s="21"/>
      <c r="D349" s="21"/>
      <c r="E349" s="21"/>
      <c r="F349" s="21"/>
      <c r="G349" s="21"/>
      <c r="H349" s="21"/>
      <c r="I349" s="21"/>
      <c r="J349" s="86"/>
      <c r="K349" s="72"/>
      <c r="L349" s="21"/>
      <c r="M349" s="86"/>
      <c r="N349" s="74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</row>
    <row r="350" spans="1:34">
      <c r="A350" s="21"/>
      <c r="B350" s="21"/>
      <c r="C350" s="21"/>
      <c r="D350" s="21"/>
      <c r="E350" s="21"/>
      <c r="F350" s="21"/>
      <c r="G350" s="21"/>
      <c r="H350" s="21"/>
      <c r="I350" s="21"/>
      <c r="J350" s="86"/>
      <c r="K350" s="72"/>
      <c r="L350" s="21"/>
      <c r="M350" s="86"/>
      <c r="N350" s="74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</row>
    <row r="351" spans="1:34">
      <c r="A351" s="21"/>
      <c r="B351" s="21"/>
      <c r="C351" s="21"/>
      <c r="D351" s="21"/>
      <c r="E351" s="21"/>
      <c r="F351" s="21"/>
      <c r="G351" s="21"/>
      <c r="H351" s="21"/>
      <c r="I351" s="21"/>
      <c r="J351" s="86"/>
      <c r="K351" s="72"/>
      <c r="L351" s="21"/>
      <c r="M351" s="86"/>
      <c r="N351" s="74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</row>
    <row r="352" spans="1:34">
      <c r="A352" s="21"/>
      <c r="B352" s="21"/>
      <c r="C352" s="21"/>
      <c r="D352" s="21"/>
      <c r="E352" s="21"/>
      <c r="F352" s="21"/>
      <c r="G352" s="21"/>
      <c r="H352" s="21"/>
      <c r="I352" s="21"/>
      <c r="J352" s="86"/>
      <c r="K352" s="72"/>
      <c r="L352" s="21"/>
      <c r="M352" s="86"/>
      <c r="N352" s="74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</row>
    <row r="353" spans="1:34">
      <c r="A353" s="21"/>
      <c r="B353" s="21"/>
      <c r="C353" s="21"/>
      <c r="D353" s="21"/>
      <c r="E353" s="21"/>
      <c r="F353" s="21"/>
      <c r="G353" s="21"/>
      <c r="H353" s="21"/>
      <c r="I353" s="21"/>
      <c r="J353" s="86"/>
      <c r="K353" s="72"/>
      <c r="L353" s="21"/>
      <c r="M353" s="86"/>
      <c r="N353" s="74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</row>
    <row r="354" spans="1:34">
      <c r="A354" s="21"/>
      <c r="B354" s="21"/>
      <c r="C354" s="21"/>
      <c r="D354" s="21"/>
      <c r="E354" s="21"/>
      <c r="F354" s="21"/>
      <c r="G354" s="21"/>
      <c r="H354" s="21"/>
      <c r="I354" s="21"/>
      <c r="J354" s="86"/>
      <c r="K354" s="72"/>
      <c r="L354" s="21"/>
      <c r="M354" s="86"/>
      <c r="N354" s="74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</row>
    <row r="355" spans="1:34">
      <c r="A355" s="21"/>
      <c r="B355" s="21"/>
      <c r="C355" s="21"/>
      <c r="D355" s="21"/>
      <c r="E355" s="21"/>
      <c r="F355" s="21"/>
      <c r="G355" s="21"/>
      <c r="H355" s="21"/>
      <c r="I355" s="21"/>
      <c r="J355" s="86"/>
      <c r="K355" s="72"/>
      <c r="L355" s="21"/>
      <c r="M355" s="86"/>
      <c r="N355" s="74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</row>
    <row r="356" spans="1:34">
      <c r="A356" s="21"/>
      <c r="B356" s="21"/>
      <c r="C356" s="21"/>
      <c r="D356" s="21"/>
      <c r="E356" s="21"/>
      <c r="F356" s="21"/>
      <c r="G356" s="21"/>
      <c r="H356" s="21"/>
      <c r="I356" s="21"/>
      <c r="J356" s="86"/>
      <c r="K356" s="72"/>
      <c r="L356" s="21"/>
      <c r="M356" s="86"/>
      <c r="N356" s="74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</row>
    <row r="357" spans="1:34">
      <c r="A357" s="21"/>
      <c r="B357" s="21"/>
      <c r="C357" s="21"/>
      <c r="D357" s="21"/>
      <c r="E357" s="21"/>
      <c r="F357" s="21"/>
      <c r="G357" s="21"/>
      <c r="H357" s="21"/>
      <c r="I357" s="21"/>
      <c r="J357" s="86"/>
      <c r="K357" s="72"/>
      <c r="L357" s="21"/>
      <c r="M357" s="86"/>
      <c r="N357" s="74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</row>
    <row r="358" spans="1:34">
      <c r="A358" s="21"/>
      <c r="B358" s="21"/>
      <c r="C358" s="21"/>
      <c r="D358" s="21"/>
      <c r="E358" s="21"/>
      <c r="F358" s="21"/>
      <c r="G358" s="21"/>
      <c r="H358" s="21"/>
      <c r="I358" s="21"/>
      <c r="J358" s="86"/>
      <c r="K358" s="72"/>
      <c r="L358" s="21"/>
      <c r="M358" s="86"/>
      <c r="N358" s="74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</row>
    <row r="359" spans="1:34">
      <c r="A359" s="21"/>
      <c r="B359" s="21"/>
      <c r="C359" s="21"/>
      <c r="D359" s="21"/>
      <c r="E359" s="21"/>
      <c r="F359" s="21"/>
      <c r="G359" s="21"/>
      <c r="H359" s="21"/>
      <c r="I359" s="21"/>
      <c r="J359" s="86"/>
      <c r="K359" s="72"/>
      <c r="L359" s="21"/>
      <c r="M359" s="86"/>
      <c r="N359" s="74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</row>
    <row r="360" spans="1:34">
      <c r="A360" s="21"/>
      <c r="B360" s="21"/>
      <c r="C360" s="21"/>
      <c r="D360" s="21"/>
      <c r="E360" s="21"/>
      <c r="F360" s="21"/>
      <c r="G360" s="21"/>
      <c r="H360" s="21"/>
      <c r="I360" s="21"/>
      <c r="J360" s="86"/>
      <c r="K360" s="72"/>
      <c r="L360" s="21"/>
      <c r="M360" s="86"/>
      <c r="N360" s="74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</row>
    <row r="361" spans="1:34">
      <c r="A361" s="21"/>
      <c r="B361" s="21"/>
      <c r="C361" s="21"/>
      <c r="D361" s="21"/>
      <c r="E361" s="21"/>
      <c r="F361" s="21"/>
      <c r="G361" s="21"/>
      <c r="H361" s="21"/>
      <c r="I361" s="21"/>
      <c r="J361" s="86"/>
      <c r="K361" s="72"/>
      <c r="L361" s="21"/>
      <c r="M361" s="86"/>
      <c r="N361" s="74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</row>
    <row r="362" spans="1:34">
      <c r="A362" s="21"/>
      <c r="B362" s="21"/>
      <c r="C362" s="21"/>
      <c r="D362" s="21"/>
      <c r="E362" s="21"/>
      <c r="F362" s="21"/>
      <c r="G362" s="21"/>
      <c r="H362" s="21"/>
      <c r="I362" s="21"/>
      <c r="J362" s="86"/>
      <c r="K362" s="72"/>
      <c r="L362" s="21"/>
      <c r="M362" s="86"/>
      <c r="N362" s="74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</row>
    <row r="363" spans="1:34">
      <c r="A363" s="21"/>
      <c r="B363" s="21"/>
      <c r="C363" s="21"/>
      <c r="D363" s="21"/>
      <c r="E363" s="21"/>
      <c r="F363" s="21"/>
      <c r="G363" s="21"/>
      <c r="H363" s="21"/>
      <c r="I363" s="21"/>
      <c r="J363" s="86"/>
      <c r="K363" s="72"/>
      <c r="L363" s="21"/>
      <c r="M363" s="86"/>
      <c r="N363" s="74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</row>
    <row r="364" spans="1:34">
      <c r="A364" s="21"/>
      <c r="B364" s="21"/>
      <c r="C364" s="21"/>
      <c r="D364" s="21"/>
      <c r="E364" s="21"/>
      <c r="F364" s="21"/>
      <c r="G364" s="21"/>
      <c r="H364" s="21"/>
      <c r="I364" s="21"/>
      <c r="J364" s="86"/>
      <c r="K364" s="72"/>
      <c r="L364" s="21"/>
      <c r="M364" s="86"/>
      <c r="N364" s="74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</row>
    <row r="365" spans="1:34">
      <c r="A365" s="21"/>
      <c r="B365" s="21"/>
      <c r="C365" s="21"/>
      <c r="D365" s="21"/>
      <c r="E365" s="21"/>
      <c r="F365" s="21"/>
      <c r="G365" s="21"/>
      <c r="H365" s="21"/>
      <c r="I365" s="21"/>
      <c r="J365" s="86"/>
      <c r="K365" s="72"/>
      <c r="L365" s="21"/>
      <c r="M365" s="86"/>
      <c r="N365" s="74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</row>
    <row r="366" spans="1:34">
      <c r="A366" s="21"/>
      <c r="B366" s="21"/>
      <c r="C366" s="21"/>
      <c r="D366" s="21"/>
      <c r="E366" s="21"/>
      <c r="F366" s="21"/>
      <c r="G366" s="21"/>
      <c r="H366" s="21"/>
      <c r="I366" s="21"/>
      <c r="J366" s="86"/>
      <c r="K366" s="72"/>
      <c r="L366" s="21"/>
      <c r="M366" s="86"/>
      <c r="N366" s="74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</row>
    <row r="367" spans="1:34">
      <c r="A367" s="21"/>
      <c r="B367" s="21"/>
      <c r="C367" s="21"/>
      <c r="D367" s="21"/>
      <c r="E367" s="21"/>
      <c r="F367" s="21"/>
      <c r="G367" s="21"/>
      <c r="H367" s="21"/>
      <c r="I367" s="21"/>
      <c r="J367" s="86"/>
      <c r="K367" s="72"/>
      <c r="L367" s="21"/>
      <c r="M367" s="86"/>
      <c r="N367" s="74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</row>
    <row r="368" spans="1:34">
      <c r="A368" s="21"/>
      <c r="B368" s="21"/>
      <c r="C368" s="21"/>
      <c r="D368" s="21"/>
      <c r="E368" s="21"/>
      <c r="F368" s="21"/>
      <c r="G368" s="21"/>
      <c r="H368" s="21"/>
      <c r="I368" s="21"/>
      <c r="J368" s="86"/>
      <c r="K368" s="72"/>
      <c r="L368" s="21"/>
      <c r="M368" s="86"/>
      <c r="N368" s="74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</row>
    <row r="369" spans="1:34">
      <c r="A369" s="21"/>
      <c r="B369" s="21"/>
      <c r="C369" s="21"/>
      <c r="D369" s="21"/>
      <c r="E369" s="21"/>
      <c r="F369" s="21"/>
      <c r="G369" s="21"/>
      <c r="H369" s="21"/>
      <c r="I369" s="21"/>
      <c r="J369" s="86"/>
      <c r="K369" s="72"/>
      <c r="L369" s="21"/>
      <c r="M369" s="86"/>
      <c r="N369" s="74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</row>
    <row r="370" spans="1:34">
      <c r="A370" s="21"/>
      <c r="B370" s="21"/>
      <c r="C370" s="21"/>
      <c r="D370" s="21"/>
      <c r="E370" s="21"/>
      <c r="F370" s="21"/>
      <c r="G370" s="21"/>
      <c r="H370" s="21"/>
      <c r="I370" s="21"/>
      <c r="J370" s="86"/>
      <c r="K370" s="72"/>
      <c r="L370" s="21"/>
      <c r="M370" s="86"/>
      <c r="N370" s="74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</row>
    <row r="371" spans="1:34">
      <c r="A371" s="21"/>
      <c r="B371" s="21"/>
      <c r="C371" s="21"/>
      <c r="D371" s="21"/>
      <c r="E371" s="21"/>
      <c r="F371" s="21"/>
      <c r="G371" s="21"/>
      <c r="H371" s="21"/>
      <c r="I371" s="21"/>
      <c r="J371" s="86"/>
      <c r="K371" s="72"/>
      <c r="L371" s="21"/>
      <c r="M371" s="86"/>
      <c r="N371" s="74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</row>
    <row r="372" spans="1:34">
      <c r="A372" s="21"/>
      <c r="B372" s="21"/>
      <c r="C372" s="21"/>
      <c r="D372" s="21"/>
      <c r="E372" s="21"/>
      <c r="F372" s="21"/>
      <c r="G372" s="21"/>
      <c r="H372" s="21"/>
      <c r="I372" s="21"/>
      <c r="J372" s="86"/>
      <c r="K372" s="72"/>
      <c r="L372" s="21"/>
      <c r="M372" s="86"/>
      <c r="N372" s="74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</row>
    <row r="373" spans="1:34">
      <c r="A373" s="21"/>
      <c r="B373" s="21"/>
      <c r="C373" s="21"/>
      <c r="D373" s="21"/>
      <c r="E373" s="21"/>
      <c r="F373" s="21"/>
      <c r="G373" s="21"/>
      <c r="H373" s="21"/>
      <c r="I373" s="21"/>
      <c r="J373" s="86"/>
      <c r="K373" s="72"/>
      <c r="L373" s="21"/>
      <c r="M373" s="86"/>
      <c r="N373" s="74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</row>
    <row r="374" spans="1:34">
      <c r="A374" s="21"/>
      <c r="B374" s="21"/>
      <c r="C374" s="21"/>
      <c r="D374" s="21"/>
      <c r="E374" s="21"/>
      <c r="F374" s="21"/>
      <c r="G374" s="21"/>
      <c r="H374" s="21"/>
      <c r="I374" s="21"/>
      <c r="J374" s="86"/>
      <c r="K374" s="72"/>
      <c r="L374" s="21"/>
      <c r="M374" s="86"/>
      <c r="N374" s="74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</row>
    <row r="375" spans="1:34">
      <c r="A375" s="21"/>
      <c r="B375" s="21"/>
      <c r="C375" s="21"/>
      <c r="D375" s="21"/>
      <c r="E375" s="21"/>
      <c r="F375" s="21"/>
      <c r="G375" s="21"/>
      <c r="H375" s="21"/>
      <c r="I375" s="21"/>
      <c r="J375" s="86"/>
      <c r="K375" s="72"/>
      <c r="L375" s="21"/>
      <c r="M375" s="86"/>
      <c r="N375" s="74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</row>
    <row r="376" spans="1:34">
      <c r="A376" s="21"/>
      <c r="B376" s="21"/>
      <c r="C376" s="21"/>
      <c r="D376" s="21"/>
      <c r="E376" s="21"/>
      <c r="F376" s="21"/>
      <c r="G376" s="21"/>
      <c r="H376" s="21"/>
      <c r="I376" s="21"/>
      <c r="J376" s="86"/>
      <c r="K376" s="72"/>
      <c r="L376" s="21"/>
      <c r="M376" s="86"/>
      <c r="N376" s="74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</row>
    <row r="377" spans="1:34">
      <c r="A377" s="21"/>
      <c r="B377" s="21"/>
      <c r="C377" s="21"/>
      <c r="D377" s="21"/>
      <c r="E377" s="21"/>
      <c r="F377" s="21"/>
      <c r="G377" s="21"/>
      <c r="H377" s="21"/>
      <c r="I377" s="21"/>
      <c r="J377" s="86"/>
      <c r="K377" s="72"/>
      <c r="L377" s="21"/>
      <c r="M377" s="86"/>
      <c r="N377" s="74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</row>
    <row r="378" spans="1:34">
      <c r="A378" s="21"/>
      <c r="B378" s="21"/>
      <c r="C378" s="21"/>
      <c r="D378" s="21"/>
      <c r="E378" s="21"/>
      <c r="F378" s="21"/>
      <c r="G378" s="21"/>
      <c r="H378" s="21"/>
      <c r="I378" s="21"/>
      <c r="J378" s="86"/>
      <c r="K378" s="72"/>
      <c r="L378" s="21"/>
      <c r="M378" s="86"/>
      <c r="N378" s="74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</row>
    <row r="379" spans="1:34">
      <c r="A379" s="21"/>
      <c r="B379" s="21"/>
      <c r="C379" s="21"/>
      <c r="D379" s="21"/>
      <c r="E379" s="21"/>
      <c r="F379" s="21"/>
      <c r="G379" s="21"/>
      <c r="H379" s="21"/>
      <c r="I379" s="21"/>
      <c r="J379" s="86"/>
      <c r="K379" s="72"/>
      <c r="L379" s="21"/>
      <c r="M379" s="86"/>
      <c r="N379" s="74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</row>
    <row r="380" spans="1:34">
      <c r="A380" s="21"/>
      <c r="B380" s="21"/>
      <c r="C380" s="21"/>
      <c r="D380" s="21"/>
      <c r="E380" s="21"/>
      <c r="F380" s="21"/>
      <c r="G380" s="21"/>
      <c r="H380" s="21"/>
      <c r="I380" s="21"/>
      <c r="J380" s="86"/>
      <c r="K380" s="72"/>
      <c r="L380" s="21"/>
      <c r="M380" s="86"/>
      <c r="N380" s="74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</row>
    <row r="381" spans="1:34">
      <c r="A381" s="21"/>
      <c r="B381" s="21"/>
      <c r="C381" s="21"/>
      <c r="D381" s="21"/>
      <c r="E381" s="21"/>
      <c r="F381" s="21"/>
      <c r="G381" s="21"/>
      <c r="H381" s="21"/>
      <c r="I381" s="21"/>
      <c r="J381" s="86"/>
      <c r="K381" s="72"/>
      <c r="L381" s="21"/>
      <c r="M381" s="86"/>
      <c r="N381" s="74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</row>
    <row r="382" spans="1:34">
      <c r="A382" s="21"/>
      <c r="B382" s="21"/>
      <c r="C382" s="21"/>
      <c r="D382" s="21"/>
      <c r="E382" s="21"/>
      <c r="F382" s="21"/>
      <c r="G382" s="21"/>
      <c r="H382" s="21"/>
      <c r="I382" s="21"/>
      <c r="J382" s="86"/>
      <c r="K382" s="72"/>
      <c r="L382" s="21"/>
      <c r="M382" s="86"/>
      <c r="N382" s="74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</row>
    <row r="383" spans="1:34">
      <c r="A383" s="21"/>
      <c r="B383" s="21"/>
      <c r="C383" s="21"/>
      <c r="D383" s="21"/>
      <c r="E383" s="21"/>
      <c r="F383" s="21"/>
      <c r="G383" s="21"/>
      <c r="H383" s="21"/>
      <c r="I383" s="21"/>
      <c r="J383" s="86"/>
      <c r="K383" s="72"/>
      <c r="L383" s="21"/>
      <c r="M383" s="86"/>
      <c r="N383" s="74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</row>
    <row r="384" spans="1:34">
      <c r="A384" s="21"/>
      <c r="B384" s="21"/>
      <c r="C384" s="21"/>
      <c r="D384" s="21"/>
      <c r="E384" s="21"/>
      <c r="F384" s="21"/>
      <c r="G384" s="21"/>
      <c r="H384" s="21"/>
      <c r="I384" s="21"/>
      <c r="J384" s="86"/>
      <c r="K384" s="72"/>
      <c r="L384" s="21"/>
      <c r="M384" s="86"/>
      <c r="N384" s="74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</row>
    <row r="385" spans="1:34">
      <c r="A385" s="21"/>
      <c r="B385" s="21"/>
      <c r="C385" s="21"/>
      <c r="D385" s="21"/>
      <c r="E385" s="21"/>
      <c r="F385" s="21"/>
      <c r="G385" s="21"/>
      <c r="H385" s="21"/>
      <c r="I385" s="21"/>
      <c r="J385" s="86"/>
      <c r="K385" s="72"/>
      <c r="L385" s="21"/>
      <c r="M385" s="86"/>
      <c r="N385" s="74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</row>
    <row r="386" spans="1:34">
      <c r="A386" s="21"/>
      <c r="B386" s="21"/>
      <c r="C386" s="21"/>
      <c r="D386" s="21"/>
      <c r="E386" s="21"/>
      <c r="F386" s="21"/>
      <c r="G386" s="21"/>
      <c r="H386" s="21"/>
      <c r="I386" s="21"/>
      <c r="J386" s="86"/>
      <c r="K386" s="72"/>
      <c r="L386" s="21"/>
      <c r="M386" s="86"/>
      <c r="N386" s="74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</row>
    <row r="387" spans="1:34">
      <c r="A387" s="21"/>
      <c r="B387" s="21"/>
      <c r="C387" s="21"/>
      <c r="D387" s="21"/>
      <c r="E387" s="21"/>
      <c r="F387" s="21"/>
      <c r="G387" s="21"/>
      <c r="H387" s="21"/>
      <c r="I387" s="21"/>
      <c r="J387" s="86"/>
      <c r="K387" s="72"/>
      <c r="L387" s="21"/>
      <c r="M387" s="86"/>
      <c r="N387" s="74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</row>
    <row r="388" spans="1:34">
      <c r="A388" s="21"/>
      <c r="B388" s="21"/>
      <c r="C388" s="21"/>
      <c r="D388" s="21"/>
      <c r="E388" s="21"/>
      <c r="F388" s="21"/>
      <c r="G388" s="21"/>
      <c r="H388" s="21"/>
      <c r="I388" s="21"/>
      <c r="J388" s="86"/>
      <c r="K388" s="72"/>
      <c r="L388" s="21"/>
      <c r="M388" s="86"/>
      <c r="N388" s="74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</row>
    <row r="389" spans="1:34">
      <c r="A389" s="21"/>
      <c r="B389" s="21"/>
      <c r="C389" s="21"/>
      <c r="D389" s="21"/>
      <c r="E389" s="21"/>
      <c r="F389" s="21"/>
      <c r="G389" s="21"/>
      <c r="H389" s="21"/>
      <c r="I389" s="21"/>
      <c r="J389" s="86"/>
      <c r="K389" s="72"/>
      <c r="L389" s="21"/>
      <c r="M389" s="86"/>
      <c r="N389" s="74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</row>
    <row r="390" spans="1:34">
      <c r="A390" s="21"/>
      <c r="B390" s="21"/>
      <c r="C390" s="21"/>
      <c r="D390" s="21"/>
      <c r="E390" s="21"/>
      <c r="F390" s="21"/>
      <c r="G390" s="21"/>
      <c r="H390" s="21"/>
      <c r="I390" s="21"/>
      <c r="J390" s="86"/>
      <c r="K390" s="72"/>
      <c r="L390" s="21"/>
      <c r="M390" s="86"/>
      <c r="N390" s="74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</row>
    <row r="391" spans="1:34">
      <c r="A391" s="21"/>
      <c r="B391" s="21"/>
      <c r="C391" s="21"/>
      <c r="D391" s="21"/>
      <c r="E391" s="21"/>
      <c r="F391" s="21"/>
      <c r="G391" s="21"/>
      <c r="H391" s="21"/>
      <c r="I391" s="21"/>
      <c r="J391" s="86"/>
      <c r="K391" s="72"/>
      <c r="L391" s="21"/>
      <c r="M391" s="86"/>
      <c r="N391" s="74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</row>
    <row r="392" spans="1:34">
      <c r="A392" s="21"/>
      <c r="B392" s="21"/>
      <c r="C392" s="21"/>
      <c r="D392" s="21"/>
      <c r="E392" s="21"/>
      <c r="F392" s="21"/>
      <c r="G392" s="21"/>
      <c r="H392" s="21"/>
      <c r="I392" s="21"/>
      <c r="J392" s="86"/>
      <c r="K392" s="72"/>
      <c r="L392" s="21"/>
      <c r="M392" s="86"/>
      <c r="N392" s="74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</row>
    <row r="393" spans="1:34">
      <c r="A393" s="21"/>
      <c r="B393" s="21"/>
      <c r="C393" s="21"/>
      <c r="D393" s="21"/>
      <c r="E393" s="21"/>
      <c r="F393" s="21"/>
      <c r="G393" s="21"/>
      <c r="H393" s="21"/>
      <c r="I393" s="21"/>
      <c r="J393" s="86"/>
      <c r="K393" s="72"/>
      <c r="L393" s="21"/>
      <c r="M393" s="86"/>
      <c r="N393" s="74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</row>
    <row r="394" spans="1:34">
      <c r="A394" s="21"/>
      <c r="B394" s="21"/>
      <c r="C394" s="21"/>
      <c r="D394" s="21"/>
      <c r="E394" s="21"/>
      <c r="F394" s="21"/>
      <c r="G394" s="21"/>
      <c r="H394" s="21"/>
      <c r="I394" s="21"/>
      <c r="J394" s="86"/>
      <c r="K394" s="72"/>
      <c r="L394" s="21"/>
      <c r="M394" s="86"/>
      <c r="N394" s="74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</row>
    <row r="395" spans="1:34">
      <c r="A395" s="21"/>
      <c r="B395" s="21"/>
      <c r="C395" s="21"/>
      <c r="D395" s="21"/>
      <c r="E395" s="21"/>
      <c r="F395" s="21"/>
      <c r="G395" s="21"/>
      <c r="H395" s="21"/>
      <c r="I395" s="21"/>
      <c r="J395" s="86"/>
      <c r="K395" s="72"/>
      <c r="L395" s="21"/>
      <c r="M395" s="86"/>
      <c r="N395" s="74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</row>
    <row r="396" spans="1:34">
      <c r="A396" s="21"/>
      <c r="B396" s="21"/>
      <c r="C396" s="21"/>
      <c r="D396" s="21"/>
      <c r="E396" s="21"/>
      <c r="F396" s="21"/>
      <c r="G396" s="21"/>
      <c r="H396" s="21"/>
      <c r="I396" s="21"/>
      <c r="J396" s="86"/>
      <c r="K396" s="72"/>
      <c r="L396" s="21"/>
      <c r="M396" s="86"/>
      <c r="N396" s="74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</row>
    <row r="397" spans="1:34">
      <c r="A397" s="21"/>
      <c r="B397" s="21"/>
      <c r="C397" s="21"/>
      <c r="D397" s="21"/>
      <c r="E397" s="21"/>
      <c r="F397" s="21"/>
      <c r="G397" s="21"/>
      <c r="H397" s="21"/>
      <c r="I397" s="21"/>
      <c r="J397" s="86"/>
      <c r="K397" s="72"/>
      <c r="L397" s="21"/>
      <c r="M397" s="86"/>
      <c r="N397" s="74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</row>
    <row r="398" spans="1:34">
      <c r="A398" s="21"/>
      <c r="B398" s="21"/>
      <c r="C398" s="21"/>
      <c r="D398" s="21"/>
      <c r="E398" s="21"/>
      <c r="F398" s="21"/>
      <c r="G398" s="21"/>
      <c r="H398" s="21"/>
      <c r="I398" s="21"/>
      <c r="J398" s="86"/>
      <c r="K398" s="72"/>
      <c r="L398" s="21"/>
      <c r="M398" s="86"/>
      <c r="N398" s="74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</row>
    <row r="399" spans="1:34">
      <c r="A399" s="21"/>
      <c r="B399" s="21"/>
      <c r="C399" s="21"/>
      <c r="D399" s="21"/>
      <c r="E399" s="21"/>
      <c r="F399" s="21"/>
      <c r="G399" s="21"/>
      <c r="H399" s="21"/>
      <c r="I399" s="21"/>
      <c r="J399" s="86"/>
      <c r="K399" s="72"/>
      <c r="L399" s="21"/>
      <c r="M399" s="86"/>
      <c r="N399" s="74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</row>
    <row r="400" spans="1:34">
      <c r="A400" s="21"/>
      <c r="B400" s="21"/>
      <c r="C400" s="21"/>
      <c r="D400" s="21"/>
      <c r="E400" s="21"/>
      <c r="F400" s="21"/>
      <c r="G400" s="21"/>
      <c r="H400" s="21"/>
      <c r="I400" s="21"/>
      <c r="J400" s="86"/>
      <c r="K400" s="72"/>
      <c r="L400" s="21"/>
      <c r="M400" s="86"/>
      <c r="N400" s="74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</row>
    <row r="401" spans="1:34">
      <c r="A401" s="21"/>
      <c r="B401" s="21"/>
      <c r="C401" s="21"/>
      <c r="D401" s="21"/>
      <c r="E401" s="21"/>
      <c r="F401" s="21"/>
      <c r="G401" s="21"/>
      <c r="H401" s="21"/>
      <c r="I401" s="21"/>
      <c r="J401" s="86"/>
      <c r="K401" s="72"/>
      <c r="L401" s="21"/>
      <c r="M401" s="86"/>
      <c r="N401" s="74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</row>
    <row r="402" spans="1:34">
      <c r="A402" s="21"/>
      <c r="B402" s="21"/>
      <c r="C402" s="21"/>
      <c r="D402" s="21"/>
      <c r="E402" s="21"/>
      <c r="F402" s="21"/>
      <c r="G402" s="21"/>
      <c r="H402" s="21"/>
      <c r="I402" s="21"/>
      <c r="J402" s="86"/>
      <c r="K402" s="72"/>
      <c r="L402" s="21"/>
      <c r="M402" s="86"/>
      <c r="N402" s="74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</row>
    <row r="403" spans="1:34">
      <c r="A403" s="21"/>
      <c r="B403" s="21"/>
      <c r="C403" s="21"/>
      <c r="D403" s="21"/>
      <c r="E403" s="21"/>
      <c r="F403" s="21"/>
      <c r="G403" s="21"/>
      <c r="H403" s="21"/>
      <c r="I403" s="21"/>
      <c r="J403" s="86"/>
      <c r="K403" s="72"/>
      <c r="L403" s="21"/>
      <c r="M403" s="86"/>
      <c r="N403" s="74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</row>
    <row r="404" spans="1:34">
      <c r="A404" s="21"/>
      <c r="B404" s="21"/>
      <c r="C404" s="21"/>
      <c r="D404" s="21"/>
      <c r="E404" s="21"/>
      <c r="F404" s="21"/>
      <c r="G404" s="21"/>
      <c r="H404" s="21"/>
      <c r="I404" s="21"/>
      <c r="J404" s="86"/>
      <c r="K404" s="72"/>
      <c r="L404" s="21"/>
      <c r="M404" s="86"/>
      <c r="N404" s="74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</row>
    <row r="405" spans="1:34">
      <c r="A405" s="21"/>
      <c r="B405" s="21"/>
      <c r="C405" s="21"/>
      <c r="D405" s="21"/>
      <c r="E405" s="21"/>
      <c r="F405" s="21"/>
      <c r="G405" s="21"/>
      <c r="H405" s="21"/>
      <c r="I405" s="21"/>
      <c r="J405" s="86"/>
      <c r="K405" s="72"/>
      <c r="L405" s="21"/>
      <c r="M405" s="86"/>
      <c r="N405" s="74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</row>
    <row r="406" spans="1:34">
      <c r="A406" s="21"/>
      <c r="B406" s="21"/>
      <c r="C406" s="21"/>
      <c r="D406" s="21"/>
      <c r="E406" s="21"/>
      <c r="F406" s="21"/>
      <c r="G406" s="21"/>
      <c r="H406" s="21"/>
      <c r="I406" s="21"/>
      <c r="J406" s="86"/>
      <c r="K406" s="72"/>
      <c r="L406" s="21"/>
      <c r="M406" s="86"/>
      <c r="N406" s="74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</row>
    <row r="407" spans="1:34">
      <c r="A407" s="21"/>
      <c r="B407" s="21"/>
      <c r="C407" s="21"/>
      <c r="D407" s="21"/>
      <c r="E407" s="21"/>
      <c r="F407" s="21"/>
      <c r="G407" s="21"/>
      <c r="H407" s="21"/>
      <c r="I407" s="21"/>
      <c r="J407" s="86"/>
      <c r="K407" s="72"/>
      <c r="L407" s="21"/>
      <c r="M407" s="86"/>
      <c r="N407" s="74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</row>
    <row r="408" spans="1:34">
      <c r="A408" s="21"/>
      <c r="B408" s="21"/>
      <c r="C408" s="21"/>
      <c r="D408" s="21"/>
      <c r="E408" s="21"/>
      <c r="F408" s="21"/>
      <c r="G408" s="21"/>
      <c r="H408" s="21"/>
      <c r="I408" s="21"/>
      <c r="J408" s="86"/>
      <c r="K408" s="72"/>
      <c r="L408" s="21"/>
      <c r="M408" s="86"/>
      <c r="N408" s="74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</row>
    <row r="409" spans="1:34">
      <c r="A409" s="21"/>
      <c r="B409" s="21"/>
      <c r="C409" s="21"/>
      <c r="D409" s="21"/>
      <c r="E409" s="21"/>
      <c r="F409" s="21"/>
      <c r="G409" s="21"/>
      <c r="H409" s="21"/>
      <c r="I409" s="21"/>
      <c r="J409" s="86"/>
      <c r="K409" s="72"/>
      <c r="L409" s="21"/>
      <c r="M409" s="86"/>
      <c r="N409" s="74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</row>
    <row r="410" spans="1:34">
      <c r="A410" s="21"/>
      <c r="B410" s="21"/>
      <c r="C410" s="21"/>
      <c r="D410" s="21"/>
      <c r="E410" s="21"/>
      <c r="F410" s="21"/>
      <c r="G410" s="21"/>
      <c r="H410" s="21"/>
      <c r="I410" s="21"/>
      <c r="J410" s="86"/>
      <c r="K410" s="72"/>
      <c r="L410" s="21"/>
      <c r="M410" s="86"/>
      <c r="N410" s="74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</row>
    <row r="411" spans="1:34">
      <c r="A411" s="21"/>
      <c r="B411" s="21"/>
      <c r="C411" s="21"/>
      <c r="D411" s="21"/>
      <c r="E411" s="21"/>
      <c r="F411" s="21"/>
      <c r="G411" s="21"/>
      <c r="H411" s="21"/>
      <c r="I411" s="21"/>
      <c r="J411" s="86"/>
      <c r="K411" s="72"/>
      <c r="L411" s="21"/>
      <c r="M411" s="86"/>
      <c r="N411" s="74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</row>
    <row r="412" spans="1:34">
      <c r="A412" s="21"/>
      <c r="B412" s="21"/>
      <c r="C412" s="21"/>
      <c r="D412" s="21"/>
      <c r="E412" s="21"/>
      <c r="F412" s="21"/>
      <c r="G412" s="21"/>
      <c r="H412" s="21"/>
      <c r="I412" s="21"/>
      <c r="J412" s="86"/>
      <c r="K412" s="72"/>
      <c r="L412" s="21"/>
      <c r="M412" s="86"/>
      <c r="N412" s="74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</row>
    <row r="413" spans="1:34">
      <c r="A413" s="21"/>
      <c r="B413" s="21"/>
      <c r="C413" s="21"/>
      <c r="D413" s="21"/>
      <c r="E413" s="21"/>
      <c r="F413" s="21"/>
      <c r="G413" s="21"/>
      <c r="H413" s="21"/>
      <c r="I413" s="21"/>
      <c r="J413" s="86"/>
      <c r="K413" s="72"/>
      <c r="L413" s="21"/>
      <c r="M413" s="86"/>
      <c r="N413" s="74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</row>
    <row r="414" spans="1:34">
      <c r="A414" s="21"/>
      <c r="B414" s="21"/>
      <c r="C414" s="21"/>
      <c r="D414" s="21"/>
      <c r="E414" s="21"/>
      <c r="F414" s="21"/>
      <c r="G414" s="21"/>
      <c r="H414" s="21"/>
      <c r="I414" s="21"/>
      <c r="J414" s="86"/>
      <c r="K414" s="72"/>
      <c r="L414" s="21"/>
      <c r="M414" s="86"/>
      <c r="N414" s="74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</row>
    <row r="415" spans="1:34">
      <c r="A415" s="21"/>
      <c r="B415" s="21"/>
      <c r="C415" s="21"/>
      <c r="D415" s="21"/>
      <c r="E415" s="21"/>
      <c r="F415" s="21"/>
      <c r="G415" s="21"/>
      <c r="H415" s="21"/>
      <c r="I415" s="21"/>
      <c r="J415" s="86"/>
      <c r="K415" s="72"/>
      <c r="L415" s="21"/>
      <c r="M415" s="86"/>
      <c r="N415" s="74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</row>
    <row r="416" spans="1:34">
      <c r="A416" s="21"/>
      <c r="B416" s="21"/>
      <c r="C416" s="21"/>
      <c r="D416" s="21"/>
      <c r="E416" s="21"/>
      <c r="F416" s="21"/>
      <c r="G416" s="21"/>
      <c r="H416" s="21"/>
      <c r="I416" s="21"/>
      <c r="J416" s="86"/>
      <c r="K416" s="72"/>
      <c r="L416" s="21"/>
      <c r="M416" s="86"/>
      <c r="N416" s="74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</row>
    <row r="417" spans="1:34">
      <c r="A417" s="21"/>
      <c r="B417" s="21"/>
      <c r="C417" s="21"/>
      <c r="D417" s="21"/>
      <c r="E417" s="21"/>
      <c r="F417" s="21"/>
      <c r="G417" s="21"/>
      <c r="H417" s="21"/>
      <c r="I417" s="21"/>
      <c r="J417" s="86"/>
      <c r="K417" s="72"/>
      <c r="L417" s="21"/>
      <c r="M417" s="86"/>
      <c r="N417" s="74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</row>
    <row r="418" spans="1:34">
      <c r="A418" s="21"/>
      <c r="B418" s="21"/>
      <c r="C418" s="21"/>
      <c r="D418" s="21"/>
      <c r="E418" s="21"/>
      <c r="F418" s="21"/>
      <c r="G418" s="21"/>
      <c r="H418" s="21"/>
      <c r="I418" s="21"/>
      <c r="J418" s="86"/>
      <c r="K418" s="72"/>
      <c r="L418" s="21"/>
      <c r="M418" s="86"/>
      <c r="N418" s="74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</row>
    <row r="419" spans="1:34">
      <c r="A419" s="21"/>
      <c r="B419" s="21"/>
      <c r="C419" s="21"/>
      <c r="D419" s="21"/>
      <c r="E419" s="21"/>
      <c r="F419" s="21"/>
      <c r="G419" s="21"/>
      <c r="H419" s="21"/>
      <c r="I419" s="21"/>
      <c r="J419" s="86"/>
      <c r="K419" s="72"/>
      <c r="L419" s="21"/>
      <c r="M419" s="86"/>
      <c r="N419" s="74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</row>
    <row r="420" spans="1:34">
      <c r="A420" s="21"/>
      <c r="B420" s="21"/>
      <c r="C420" s="21"/>
      <c r="D420" s="21"/>
      <c r="E420" s="21"/>
      <c r="F420" s="21"/>
      <c r="G420" s="21"/>
      <c r="H420" s="21"/>
      <c r="I420" s="21"/>
      <c r="J420" s="86"/>
      <c r="K420" s="72"/>
      <c r="L420" s="21"/>
      <c r="M420" s="86"/>
      <c r="N420" s="74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</row>
    <row r="421" spans="1:34">
      <c r="A421" s="21"/>
      <c r="B421" s="21"/>
      <c r="C421" s="21"/>
      <c r="D421" s="21"/>
      <c r="E421" s="21"/>
      <c r="F421" s="21"/>
      <c r="G421" s="21"/>
      <c r="H421" s="21"/>
      <c r="I421" s="21"/>
      <c r="J421" s="86"/>
      <c r="K421" s="72"/>
      <c r="L421" s="21"/>
      <c r="M421" s="86"/>
      <c r="N421" s="74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</row>
    <row r="422" spans="1:34">
      <c r="A422" s="21"/>
      <c r="B422" s="21"/>
      <c r="C422" s="21"/>
      <c r="D422" s="21"/>
      <c r="E422" s="21"/>
      <c r="F422" s="21"/>
      <c r="G422" s="21"/>
      <c r="H422" s="21"/>
      <c r="I422" s="21"/>
      <c r="J422" s="86"/>
      <c r="K422" s="72"/>
      <c r="L422" s="21"/>
      <c r="M422" s="86"/>
      <c r="N422" s="74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</row>
    <row r="423" spans="1:34">
      <c r="A423" s="21"/>
      <c r="B423" s="21"/>
      <c r="C423" s="21"/>
      <c r="D423" s="21"/>
      <c r="E423" s="21"/>
      <c r="F423" s="21"/>
      <c r="G423" s="21"/>
      <c r="H423" s="21"/>
      <c r="I423" s="21"/>
      <c r="J423" s="86"/>
      <c r="K423" s="72"/>
      <c r="L423" s="21"/>
      <c r="M423" s="86"/>
      <c r="N423" s="74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</row>
    <row r="424" spans="1:34">
      <c r="A424" s="21"/>
      <c r="B424" s="21"/>
      <c r="C424" s="21"/>
      <c r="D424" s="21"/>
      <c r="E424" s="21"/>
      <c r="F424" s="21"/>
      <c r="G424" s="21"/>
      <c r="H424" s="21"/>
      <c r="I424" s="21"/>
      <c r="J424" s="86"/>
      <c r="K424" s="72"/>
      <c r="L424" s="21"/>
      <c r="M424" s="86"/>
      <c r="N424" s="74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</row>
    <row r="425" spans="1:34">
      <c r="A425" s="21"/>
      <c r="B425" s="21"/>
      <c r="C425" s="21"/>
      <c r="D425" s="21"/>
      <c r="E425" s="21"/>
      <c r="F425" s="21"/>
      <c r="G425" s="21"/>
      <c r="H425" s="21"/>
      <c r="I425" s="21"/>
      <c r="J425" s="86"/>
      <c r="K425" s="72"/>
      <c r="L425" s="21"/>
      <c r="M425" s="86"/>
      <c r="N425" s="74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</row>
    <row r="426" spans="1:34">
      <c r="A426" s="21"/>
      <c r="B426" s="21"/>
      <c r="C426" s="21"/>
      <c r="D426" s="21"/>
      <c r="E426" s="21"/>
      <c r="F426" s="21"/>
      <c r="G426" s="21"/>
      <c r="H426" s="21"/>
      <c r="I426" s="21"/>
      <c r="J426" s="86"/>
      <c r="K426" s="72"/>
      <c r="L426" s="21"/>
      <c r="M426" s="86"/>
      <c r="N426" s="74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</row>
    <row r="427" spans="1:34">
      <c r="A427" s="21"/>
      <c r="B427" s="21"/>
      <c r="C427" s="21"/>
      <c r="D427" s="21"/>
      <c r="E427" s="21"/>
      <c r="F427" s="21"/>
      <c r="G427" s="21"/>
      <c r="H427" s="21"/>
      <c r="I427" s="21"/>
      <c r="J427" s="86"/>
      <c r="K427" s="72"/>
      <c r="L427" s="21"/>
      <c r="M427" s="86"/>
      <c r="N427" s="74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</row>
    <row r="428" spans="1:34">
      <c r="A428" s="21"/>
      <c r="B428" s="21"/>
      <c r="C428" s="21"/>
      <c r="D428" s="21"/>
      <c r="E428" s="21"/>
      <c r="F428" s="21"/>
      <c r="G428" s="21"/>
      <c r="H428" s="21"/>
      <c r="I428" s="21"/>
      <c r="J428" s="86"/>
      <c r="K428" s="72"/>
      <c r="L428" s="21"/>
      <c r="M428" s="86"/>
      <c r="N428" s="74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</row>
    <row r="429" spans="1:34">
      <c r="A429" s="21"/>
      <c r="B429" s="21"/>
      <c r="C429" s="21"/>
      <c r="D429" s="21"/>
      <c r="E429" s="21"/>
      <c r="F429" s="21"/>
      <c r="G429" s="21"/>
      <c r="H429" s="21"/>
      <c r="I429" s="21"/>
      <c r="J429" s="86"/>
      <c r="K429" s="72"/>
      <c r="L429" s="21"/>
      <c r="M429" s="86"/>
      <c r="N429" s="74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</row>
    <row r="430" spans="1:34">
      <c r="A430" s="21"/>
      <c r="B430" s="21"/>
      <c r="C430" s="21"/>
      <c r="D430" s="21"/>
      <c r="E430" s="21"/>
      <c r="F430" s="21"/>
      <c r="G430" s="21"/>
      <c r="H430" s="21"/>
      <c r="I430" s="21"/>
      <c r="J430" s="86"/>
      <c r="K430" s="72"/>
      <c r="L430" s="21"/>
      <c r="M430" s="86"/>
      <c r="N430" s="74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</row>
    <row r="431" spans="1:34">
      <c r="A431" s="21"/>
      <c r="B431" s="21"/>
      <c r="C431" s="21"/>
      <c r="D431" s="21"/>
      <c r="E431" s="21"/>
      <c r="F431" s="21"/>
      <c r="G431" s="21"/>
      <c r="H431" s="21"/>
      <c r="I431" s="21"/>
      <c r="J431" s="86"/>
      <c r="K431" s="72"/>
      <c r="L431" s="21"/>
      <c r="M431" s="86"/>
      <c r="N431" s="74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</row>
    <row r="432" spans="1:34">
      <c r="A432" s="21"/>
      <c r="B432" s="21"/>
      <c r="C432" s="21"/>
      <c r="D432" s="21"/>
      <c r="E432" s="21"/>
      <c r="F432" s="21"/>
      <c r="G432" s="21"/>
      <c r="H432" s="21"/>
      <c r="I432" s="21"/>
      <c r="J432" s="86"/>
      <c r="K432" s="72"/>
      <c r="L432" s="21"/>
      <c r="M432" s="86"/>
      <c r="N432" s="74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</row>
    <row r="433" spans="1:34">
      <c r="A433" s="21"/>
      <c r="B433" s="21"/>
      <c r="C433" s="21"/>
      <c r="D433" s="21"/>
      <c r="E433" s="21"/>
      <c r="F433" s="21"/>
      <c r="G433" s="21"/>
      <c r="H433" s="21"/>
      <c r="I433" s="21"/>
      <c r="J433" s="86"/>
      <c r="K433" s="72"/>
      <c r="L433" s="21"/>
      <c r="M433" s="86"/>
      <c r="N433" s="74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</row>
    <row r="434" spans="1:34">
      <c r="A434" s="21"/>
      <c r="B434" s="21"/>
      <c r="C434" s="21"/>
      <c r="D434" s="21"/>
      <c r="E434" s="21"/>
      <c r="F434" s="21"/>
      <c r="G434" s="21"/>
      <c r="H434" s="21"/>
      <c r="I434" s="21"/>
      <c r="J434" s="86"/>
      <c r="K434" s="72"/>
      <c r="L434" s="21"/>
      <c r="M434" s="86"/>
      <c r="N434" s="74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</row>
    <row r="435" spans="1:34">
      <c r="A435" s="21"/>
      <c r="B435" s="21"/>
      <c r="C435" s="21"/>
      <c r="D435" s="21"/>
      <c r="E435" s="21"/>
      <c r="F435" s="21"/>
      <c r="G435" s="21"/>
      <c r="H435" s="21"/>
      <c r="I435" s="21"/>
      <c r="J435" s="86"/>
      <c r="K435" s="72"/>
      <c r="L435" s="21"/>
      <c r="M435" s="86"/>
      <c r="N435" s="74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</row>
    <row r="436" spans="1:34">
      <c r="A436" s="21"/>
      <c r="B436" s="21"/>
      <c r="C436" s="21"/>
      <c r="D436" s="21"/>
      <c r="E436" s="21"/>
      <c r="F436" s="21"/>
      <c r="G436" s="21"/>
      <c r="H436" s="21"/>
      <c r="I436" s="21"/>
      <c r="J436" s="86"/>
      <c r="K436" s="72"/>
      <c r="L436" s="21"/>
      <c r="M436" s="86"/>
      <c r="N436" s="74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</row>
    <row r="437" spans="1:34">
      <c r="A437" s="21"/>
      <c r="B437" s="21"/>
      <c r="C437" s="21"/>
      <c r="D437" s="21"/>
      <c r="E437" s="21"/>
      <c r="F437" s="21"/>
      <c r="G437" s="21"/>
      <c r="H437" s="21"/>
      <c r="I437" s="21"/>
      <c r="J437" s="86"/>
      <c r="K437" s="72"/>
      <c r="L437" s="21"/>
      <c r="M437" s="86"/>
      <c r="N437" s="74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</row>
    <row r="438" spans="1:34">
      <c r="A438" s="21"/>
      <c r="B438" s="21"/>
      <c r="C438" s="21"/>
      <c r="D438" s="21"/>
      <c r="E438" s="21"/>
      <c r="F438" s="21"/>
      <c r="G438" s="21"/>
      <c r="H438" s="21"/>
      <c r="I438" s="21"/>
      <c r="J438" s="86"/>
      <c r="K438" s="72"/>
      <c r="L438" s="21"/>
      <c r="M438" s="86"/>
      <c r="N438" s="74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</row>
    <row r="439" spans="1:34">
      <c r="A439" s="21"/>
      <c r="B439" s="21"/>
      <c r="C439" s="21"/>
      <c r="D439" s="21"/>
      <c r="E439" s="21"/>
      <c r="F439" s="21"/>
      <c r="G439" s="21"/>
      <c r="H439" s="21"/>
      <c r="I439" s="21"/>
      <c r="J439" s="86"/>
      <c r="K439" s="72"/>
      <c r="L439" s="21"/>
      <c r="M439" s="86"/>
      <c r="N439" s="74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</row>
    <row r="440" spans="1:34">
      <c r="A440" s="21"/>
      <c r="B440" s="21"/>
      <c r="C440" s="21"/>
      <c r="D440" s="21"/>
      <c r="E440" s="21"/>
      <c r="F440" s="21"/>
      <c r="G440" s="21"/>
      <c r="H440" s="21"/>
      <c r="I440" s="21"/>
      <c r="J440" s="86"/>
      <c r="K440" s="72"/>
      <c r="L440" s="21"/>
      <c r="M440" s="86"/>
      <c r="N440" s="74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</row>
    <row r="441" spans="1:34">
      <c r="A441" s="21"/>
      <c r="B441" s="21"/>
      <c r="C441" s="21"/>
      <c r="D441" s="21"/>
      <c r="E441" s="21"/>
      <c r="F441" s="21"/>
      <c r="G441" s="21"/>
      <c r="H441" s="21"/>
      <c r="I441" s="21"/>
      <c r="J441" s="86"/>
      <c r="K441" s="72"/>
      <c r="L441" s="21"/>
      <c r="M441" s="86"/>
      <c r="N441" s="74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</row>
    <row r="442" spans="1:34">
      <c r="A442" s="21"/>
      <c r="B442" s="21"/>
      <c r="C442" s="21"/>
      <c r="D442" s="21"/>
      <c r="E442" s="21"/>
      <c r="F442" s="21"/>
      <c r="G442" s="21"/>
      <c r="H442" s="21"/>
      <c r="I442" s="21"/>
      <c r="J442" s="86"/>
      <c r="K442" s="72"/>
      <c r="L442" s="21"/>
      <c r="M442" s="86"/>
      <c r="N442" s="74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</row>
    <row r="443" spans="1:34">
      <c r="A443" s="21"/>
      <c r="B443" s="21"/>
      <c r="C443" s="21"/>
      <c r="D443" s="21"/>
      <c r="E443" s="21"/>
      <c r="F443" s="21"/>
      <c r="G443" s="21"/>
      <c r="H443" s="21"/>
      <c r="I443" s="21"/>
      <c r="J443" s="86"/>
      <c r="K443" s="72"/>
      <c r="L443" s="21"/>
      <c r="M443" s="86"/>
      <c r="N443" s="74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</row>
    <row r="444" spans="1:34">
      <c r="A444" s="21"/>
      <c r="B444" s="21"/>
      <c r="C444" s="21"/>
      <c r="D444" s="21"/>
      <c r="E444" s="21"/>
      <c r="F444" s="21"/>
      <c r="G444" s="21"/>
      <c r="H444" s="21"/>
      <c r="I444" s="21"/>
      <c r="J444" s="86"/>
      <c r="K444" s="72"/>
      <c r="L444" s="21"/>
      <c r="M444" s="86"/>
      <c r="N444" s="74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</row>
    <row r="445" spans="1:34">
      <c r="A445" s="21"/>
      <c r="B445" s="21"/>
      <c r="C445" s="21"/>
      <c r="D445" s="21"/>
      <c r="E445" s="21"/>
      <c r="F445" s="21"/>
      <c r="G445" s="21"/>
      <c r="H445" s="21"/>
      <c r="I445" s="21"/>
      <c r="J445" s="86"/>
      <c r="K445" s="72"/>
      <c r="L445" s="21"/>
      <c r="M445" s="86"/>
      <c r="N445" s="74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</row>
    <row r="446" spans="1:34">
      <c r="A446" s="21"/>
      <c r="B446" s="21"/>
      <c r="C446" s="21"/>
      <c r="D446" s="21"/>
      <c r="E446" s="21"/>
      <c r="F446" s="21"/>
      <c r="G446" s="21"/>
      <c r="H446" s="21"/>
      <c r="I446" s="21"/>
      <c r="J446" s="86"/>
      <c r="K446" s="72"/>
      <c r="L446" s="21"/>
      <c r="M446" s="86"/>
      <c r="N446" s="74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</row>
    <row r="447" spans="1:34">
      <c r="A447" s="21"/>
      <c r="B447" s="21"/>
      <c r="C447" s="21"/>
      <c r="D447" s="21"/>
      <c r="E447" s="21"/>
      <c r="F447" s="21"/>
      <c r="G447" s="21"/>
      <c r="H447" s="21"/>
      <c r="I447" s="21"/>
      <c r="J447" s="86"/>
      <c r="K447" s="72"/>
      <c r="L447" s="21"/>
      <c r="M447" s="86"/>
      <c r="N447" s="74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</row>
    <row r="448" spans="1:34">
      <c r="A448" s="21"/>
      <c r="B448" s="21"/>
      <c r="C448" s="21"/>
      <c r="D448" s="21"/>
      <c r="E448" s="21"/>
      <c r="F448" s="21"/>
      <c r="G448" s="21"/>
      <c r="H448" s="21"/>
      <c r="I448" s="21"/>
      <c r="J448" s="86"/>
      <c r="K448" s="72"/>
      <c r="L448" s="21"/>
      <c r="M448" s="86"/>
      <c r="N448" s="74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</row>
    <row r="449" spans="1:34">
      <c r="A449" s="21"/>
      <c r="B449" s="21"/>
      <c r="C449" s="21"/>
      <c r="D449" s="21"/>
      <c r="E449" s="21"/>
      <c r="F449" s="21"/>
      <c r="G449" s="21"/>
      <c r="H449" s="21"/>
      <c r="I449" s="21"/>
      <c r="J449" s="86"/>
      <c r="K449" s="72"/>
      <c r="L449" s="21"/>
      <c r="M449" s="86"/>
      <c r="N449" s="74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</row>
    <row r="450" spans="1:34">
      <c r="A450" s="21"/>
      <c r="B450" s="21"/>
      <c r="C450" s="21"/>
      <c r="D450" s="21"/>
      <c r="E450" s="21"/>
      <c r="F450" s="21"/>
      <c r="G450" s="21"/>
      <c r="H450" s="21"/>
      <c r="I450" s="21"/>
      <c r="J450" s="86"/>
      <c r="K450" s="72"/>
      <c r="L450" s="21"/>
      <c r="M450" s="86"/>
      <c r="N450" s="74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</row>
    <row r="451" spans="1:34">
      <c r="A451" s="21"/>
      <c r="B451" s="21"/>
      <c r="C451" s="21"/>
      <c r="D451" s="21"/>
      <c r="E451" s="21"/>
      <c r="F451" s="21"/>
      <c r="G451" s="21"/>
      <c r="H451" s="21"/>
      <c r="I451" s="21"/>
      <c r="J451" s="86"/>
      <c r="K451" s="72"/>
      <c r="L451" s="21"/>
      <c r="M451" s="86"/>
      <c r="N451" s="74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</row>
    <row r="452" spans="1:34">
      <c r="A452" s="21"/>
      <c r="B452" s="21"/>
      <c r="C452" s="21"/>
      <c r="D452" s="21"/>
      <c r="E452" s="21"/>
      <c r="F452" s="21"/>
      <c r="G452" s="21"/>
      <c r="H452" s="21"/>
      <c r="I452" s="21"/>
      <c r="J452" s="86"/>
      <c r="K452" s="72"/>
      <c r="L452" s="21"/>
      <c r="M452" s="86"/>
      <c r="N452" s="74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</row>
    <row r="453" spans="1:34">
      <c r="A453" s="21"/>
      <c r="B453" s="21"/>
      <c r="C453" s="21"/>
      <c r="D453" s="21"/>
      <c r="E453" s="21"/>
      <c r="F453" s="21"/>
      <c r="G453" s="21"/>
      <c r="H453" s="21"/>
      <c r="I453" s="21"/>
      <c r="J453" s="86"/>
      <c r="K453" s="72"/>
      <c r="L453" s="21"/>
      <c r="M453" s="86"/>
      <c r="N453" s="74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</row>
    <row r="454" spans="1:34">
      <c r="A454" s="21"/>
      <c r="B454" s="21"/>
      <c r="C454" s="21"/>
      <c r="D454" s="21"/>
      <c r="E454" s="21"/>
      <c r="F454" s="21"/>
      <c r="G454" s="21"/>
      <c r="H454" s="21"/>
      <c r="I454" s="21"/>
      <c r="J454" s="86"/>
      <c r="K454" s="72"/>
      <c r="L454" s="21"/>
      <c r="M454" s="86"/>
      <c r="N454" s="74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</row>
    <row r="455" spans="1:34">
      <c r="A455" s="21"/>
      <c r="B455" s="21"/>
      <c r="C455" s="21"/>
      <c r="D455" s="21"/>
      <c r="E455" s="21"/>
      <c r="F455" s="21"/>
      <c r="G455" s="21"/>
      <c r="H455" s="21"/>
      <c r="I455" s="21"/>
      <c r="J455" s="86"/>
      <c r="K455" s="72"/>
      <c r="L455" s="21"/>
      <c r="M455" s="86"/>
      <c r="N455" s="74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</row>
    <row r="456" spans="1:34">
      <c r="A456" s="21"/>
      <c r="B456" s="21"/>
      <c r="C456" s="21"/>
      <c r="D456" s="21"/>
      <c r="E456" s="21"/>
      <c r="F456" s="21"/>
      <c r="G456" s="21"/>
      <c r="H456" s="21"/>
      <c r="I456" s="21"/>
      <c r="J456" s="86"/>
      <c r="K456" s="72"/>
      <c r="L456" s="21"/>
      <c r="M456" s="86"/>
      <c r="N456" s="74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</row>
    <row r="457" spans="1:34">
      <c r="A457" s="21"/>
      <c r="B457" s="21"/>
      <c r="C457" s="21"/>
      <c r="D457" s="21"/>
      <c r="E457" s="21"/>
      <c r="F457" s="21"/>
      <c r="G457" s="21"/>
      <c r="H457" s="21"/>
      <c r="I457" s="21"/>
      <c r="J457" s="86"/>
      <c r="K457" s="72"/>
      <c r="L457" s="21"/>
      <c r="M457" s="86"/>
      <c r="N457" s="74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</row>
    <row r="458" spans="1:34">
      <c r="A458" s="21"/>
      <c r="B458" s="21"/>
      <c r="C458" s="21"/>
      <c r="D458" s="21"/>
      <c r="E458" s="21"/>
      <c r="F458" s="21"/>
      <c r="G458" s="21"/>
      <c r="H458" s="21"/>
      <c r="I458" s="21"/>
      <c r="J458" s="86"/>
      <c r="K458" s="72"/>
      <c r="L458" s="21"/>
      <c r="M458" s="86"/>
      <c r="N458" s="74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</row>
    <row r="459" spans="1:34">
      <c r="A459" s="21"/>
      <c r="B459" s="21"/>
      <c r="C459" s="21"/>
      <c r="D459" s="21"/>
      <c r="E459" s="21"/>
      <c r="F459" s="21"/>
      <c r="G459" s="21"/>
      <c r="H459" s="21"/>
      <c r="I459" s="21"/>
      <c r="J459" s="86"/>
      <c r="K459" s="72"/>
      <c r="L459" s="21"/>
      <c r="M459" s="86"/>
      <c r="N459" s="74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</row>
    <row r="460" spans="1:34">
      <c r="A460" s="21"/>
      <c r="B460" s="21"/>
      <c r="C460" s="21"/>
      <c r="D460" s="21"/>
      <c r="E460" s="21"/>
      <c r="F460" s="21"/>
      <c r="G460" s="21"/>
      <c r="H460" s="21"/>
      <c r="I460" s="21"/>
      <c r="J460" s="86"/>
      <c r="K460" s="72"/>
      <c r="L460" s="21"/>
      <c r="M460" s="86"/>
      <c r="N460" s="74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</row>
    <row r="461" spans="1:34">
      <c r="A461" s="21"/>
      <c r="B461" s="21"/>
      <c r="C461" s="21"/>
      <c r="D461" s="21"/>
      <c r="E461" s="21"/>
      <c r="F461" s="21"/>
      <c r="G461" s="21"/>
      <c r="H461" s="21"/>
      <c r="I461" s="21"/>
      <c r="J461" s="86"/>
      <c r="K461" s="72"/>
      <c r="L461" s="21"/>
      <c r="M461" s="86"/>
      <c r="N461" s="74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</row>
    <row r="462" spans="1:34">
      <c r="A462" s="21"/>
      <c r="B462" s="21"/>
      <c r="C462" s="21"/>
      <c r="D462" s="21"/>
      <c r="E462" s="21"/>
      <c r="F462" s="21"/>
      <c r="G462" s="21"/>
      <c r="H462" s="21"/>
      <c r="I462" s="21"/>
      <c r="J462" s="86"/>
      <c r="K462" s="72"/>
      <c r="L462" s="21"/>
      <c r="M462" s="86"/>
      <c r="N462" s="74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</row>
    <row r="463" spans="1:34">
      <c r="A463" s="21"/>
      <c r="B463" s="21"/>
      <c r="C463" s="21"/>
      <c r="D463" s="21"/>
      <c r="E463" s="21"/>
      <c r="F463" s="21"/>
      <c r="G463" s="21"/>
      <c r="H463" s="21"/>
      <c r="I463" s="21"/>
      <c r="J463" s="86"/>
      <c r="K463" s="72"/>
      <c r="L463" s="21"/>
      <c r="M463" s="86"/>
      <c r="N463" s="74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</row>
    <row r="464" spans="1:34">
      <c r="A464" s="21"/>
      <c r="B464" s="21"/>
      <c r="C464" s="21"/>
      <c r="D464" s="21"/>
      <c r="E464" s="21"/>
      <c r="F464" s="21"/>
      <c r="G464" s="21"/>
      <c r="H464" s="21"/>
      <c r="I464" s="21"/>
      <c r="J464" s="86"/>
      <c r="K464" s="72"/>
      <c r="L464" s="21"/>
      <c r="M464" s="86"/>
      <c r="N464" s="74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</row>
    <row r="465" spans="1:34">
      <c r="A465" s="21"/>
      <c r="B465" s="21"/>
      <c r="C465" s="21"/>
      <c r="D465" s="21"/>
      <c r="E465" s="21"/>
      <c r="F465" s="21"/>
      <c r="G465" s="21"/>
      <c r="H465" s="21"/>
      <c r="I465" s="21"/>
      <c r="J465" s="86"/>
      <c r="K465" s="72"/>
      <c r="L465" s="21"/>
      <c r="M465" s="86"/>
      <c r="N465" s="74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</row>
    <row r="466" spans="1:34">
      <c r="A466" s="21"/>
      <c r="B466" s="21"/>
      <c r="C466" s="21"/>
      <c r="D466" s="21"/>
      <c r="E466" s="21"/>
      <c r="F466" s="21"/>
      <c r="G466" s="21"/>
      <c r="H466" s="21"/>
      <c r="I466" s="21"/>
      <c r="J466" s="86"/>
      <c r="K466" s="72"/>
      <c r="L466" s="21"/>
      <c r="M466" s="86"/>
      <c r="N466" s="74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</row>
    <row r="467" spans="1:34">
      <c r="A467" s="21"/>
      <c r="B467" s="21"/>
      <c r="C467" s="21"/>
      <c r="D467" s="21"/>
      <c r="E467" s="21"/>
      <c r="F467" s="21"/>
      <c r="G467" s="21"/>
      <c r="H467" s="21"/>
      <c r="I467" s="21"/>
      <c r="J467" s="86"/>
      <c r="K467" s="72"/>
      <c r="L467" s="21"/>
      <c r="M467" s="86"/>
      <c r="N467" s="74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</row>
    <row r="468" spans="1:34">
      <c r="A468" s="21"/>
      <c r="B468" s="21"/>
      <c r="C468" s="21"/>
      <c r="D468" s="21"/>
      <c r="E468" s="21"/>
      <c r="F468" s="21"/>
      <c r="G468" s="21"/>
      <c r="H468" s="21"/>
      <c r="I468" s="21"/>
      <c r="J468" s="86"/>
      <c r="K468" s="72"/>
      <c r="L468" s="21"/>
      <c r="M468" s="86"/>
      <c r="N468" s="74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</row>
    <row r="469" spans="1:34">
      <c r="A469" s="21"/>
      <c r="B469" s="21"/>
      <c r="C469" s="21"/>
      <c r="D469" s="21"/>
      <c r="E469" s="21"/>
      <c r="F469" s="21"/>
      <c r="G469" s="21"/>
      <c r="H469" s="21"/>
      <c r="I469" s="21"/>
      <c r="J469" s="86"/>
      <c r="K469" s="72"/>
      <c r="L469" s="21"/>
      <c r="M469" s="86"/>
      <c r="N469" s="74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</row>
    <row r="470" spans="1:34">
      <c r="A470" s="21"/>
      <c r="B470" s="21"/>
      <c r="C470" s="21"/>
      <c r="D470" s="21"/>
      <c r="E470" s="21"/>
      <c r="F470" s="21"/>
      <c r="G470" s="21"/>
      <c r="H470" s="21"/>
      <c r="I470" s="21"/>
      <c r="J470" s="86"/>
      <c r="K470" s="72"/>
      <c r="L470" s="21"/>
      <c r="M470" s="86"/>
      <c r="N470" s="74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</row>
    <row r="471" spans="1:34">
      <c r="A471" s="21"/>
      <c r="B471" s="21"/>
      <c r="C471" s="21"/>
      <c r="D471" s="21"/>
      <c r="E471" s="21"/>
      <c r="F471" s="21"/>
      <c r="G471" s="21"/>
      <c r="H471" s="21"/>
      <c r="I471" s="21"/>
      <c r="J471" s="86"/>
      <c r="K471" s="72"/>
      <c r="L471" s="21"/>
      <c r="M471" s="86"/>
      <c r="N471" s="74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</row>
    <row r="472" spans="1:34">
      <c r="A472" s="21"/>
      <c r="B472" s="21"/>
      <c r="C472" s="21"/>
      <c r="D472" s="21"/>
      <c r="E472" s="21"/>
      <c r="F472" s="21"/>
      <c r="G472" s="21"/>
      <c r="H472" s="21"/>
      <c r="I472" s="21"/>
      <c r="J472" s="86"/>
      <c r="K472" s="72"/>
      <c r="L472" s="21"/>
      <c r="M472" s="86"/>
      <c r="N472" s="74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</row>
    <row r="473" spans="1:34">
      <c r="A473" s="21"/>
      <c r="B473" s="21"/>
      <c r="C473" s="21"/>
      <c r="D473" s="21"/>
      <c r="E473" s="21"/>
      <c r="F473" s="21"/>
      <c r="G473" s="21"/>
      <c r="H473" s="21"/>
      <c r="I473" s="21"/>
      <c r="J473" s="86"/>
      <c r="K473" s="72"/>
      <c r="L473" s="21"/>
      <c r="M473" s="86"/>
      <c r="N473" s="74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</row>
    <row r="474" spans="1:34">
      <c r="A474" s="21"/>
      <c r="B474" s="21"/>
      <c r="C474" s="21"/>
      <c r="D474" s="21"/>
      <c r="E474" s="21"/>
      <c r="F474" s="21"/>
      <c r="G474" s="21"/>
      <c r="H474" s="21"/>
      <c r="I474" s="21"/>
      <c r="J474" s="86"/>
      <c r="K474" s="72"/>
      <c r="L474" s="21"/>
      <c r="M474" s="86"/>
      <c r="N474" s="74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</row>
    <row r="475" spans="1:34">
      <c r="A475" s="21"/>
      <c r="B475" s="21"/>
      <c r="C475" s="21"/>
      <c r="D475" s="21"/>
      <c r="E475" s="21"/>
      <c r="F475" s="21"/>
      <c r="G475" s="21"/>
      <c r="H475" s="21"/>
      <c r="I475" s="21"/>
      <c r="J475" s="86"/>
      <c r="K475" s="72"/>
      <c r="L475" s="21"/>
      <c r="M475" s="86"/>
      <c r="N475" s="74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</row>
    <row r="476" spans="1:34">
      <c r="A476" s="21"/>
      <c r="B476" s="21"/>
      <c r="C476" s="21"/>
      <c r="D476" s="21"/>
      <c r="E476" s="21"/>
      <c r="F476" s="21"/>
      <c r="G476" s="21"/>
      <c r="H476" s="21"/>
      <c r="I476" s="21"/>
      <c r="J476" s="86"/>
      <c r="K476" s="72"/>
      <c r="L476" s="21"/>
      <c r="M476" s="86"/>
      <c r="N476" s="74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</row>
    <row r="477" spans="1:34">
      <c r="A477" s="21"/>
      <c r="B477" s="21"/>
      <c r="C477" s="21"/>
      <c r="D477" s="21"/>
      <c r="E477" s="21"/>
      <c r="F477" s="21"/>
      <c r="G477" s="21"/>
      <c r="H477" s="21"/>
      <c r="I477" s="21"/>
      <c r="J477" s="86"/>
      <c r="K477" s="72"/>
      <c r="L477" s="21"/>
      <c r="M477" s="86"/>
      <c r="N477" s="74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</row>
    <row r="478" spans="1:34">
      <c r="A478" s="21"/>
      <c r="B478" s="21"/>
      <c r="C478" s="21"/>
      <c r="D478" s="21"/>
      <c r="E478" s="21"/>
      <c r="F478" s="21"/>
      <c r="G478" s="21"/>
      <c r="H478" s="21"/>
      <c r="I478" s="21"/>
      <c r="J478" s="86"/>
      <c r="K478" s="72"/>
      <c r="L478" s="21"/>
      <c r="M478" s="86"/>
      <c r="N478" s="74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</row>
    <row r="479" spans="1:34">
      <c r="A479" s="21"/>
      <c r="B479" s="21"/>
      <c r="C479" s="21"/>
      <c r="D479" s="21"/>
      <c r="E479" s="21"/>
      <c r="F479" s="21"/>
      <c r="G479" s="21"/>
      <c r="H479" s="21"/>
      <c r="I479" s="21"/>
      <c r="J479" s="86"/>
      <c r="K479" s="72"/>
      <c r="L479" s="21"/>
      <c r="M479" s="86"/>
      <c r="N479" s="74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</row>
    <row r="480" spans="1:34">
      <c r="A480" s="21"/>
      <c r="B480" s="21"/>
      <c r="C480" s="21"/>
      <c r="D480" s="21"/>
      <c r="E480" s="21"/>
      <c r="F480" s="21"/>
      <c r="G480" s="21"/>
      <c r="H480" s="21"/>
      <c r="I480" s="21"/>
      <c r="J480" s="86"/>
      <c r="K480" s="72"/>
      <c r="L480" s="21"/>
      <c r="M480" s="86"/>
      <c r="N480" s="74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</row>
    <row r="481" spans="1:34">
      <c r="A481" s="21"/>
      <c r="B481" s="21"/>
      <c r="C481" s="21"/>
      <c r="D481" s="21"/>
      <c r="E481" s="21"/>
      <c r="F481" s="21"/>
      <c r="G481" s="21"/>
      <c r="H481" s="21"/>
      <c r="I481" s="21"/>
      <c r="J481" s="86"/>
      <c r="K481" s="72"/>
      <c r="L481" s="21"/>
      <c r="M481" s="86"/>
      <c r="N481" s="74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</row>
    <row r="482" spans="1:34">
      <c r="A482" s="21"/>
      <c r="B482" s="21"/>
      <c r="C482" s="21"/>
      <c r="D482" s="21"/>
      <c r="E482" s="21"/>
      <c r="F482" s="21"/>
      <c r="G482" s="21"/>
      <c r="H482" s="21"/>
      <c r="I482" s="21"/>
      <c r="J482" s="86"/>
      <c r="K482" s="72"/>
      <c r="L482" s="21"/>
      <c r="M482" s="86"/>
      <c r="N482" s="74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</row>
    <row r="483" spans="1:34">
      <c r="A483" s="21"/>
      <c r="B483" s="21"/>
      <c r="C483" s="21"/>
      <c r="D483" s="21"/>
      <c r="E483" s="21"/>
      <c r="F483" s="21"/>
      <c r="G483" s="21"/>
      <c r="H483" s="21"/>
      <c r="I483" s="21"/>
      <c r="J483" s="86"/>
      <c r="K483" s="72"/>
      <c r="L483" s="21"/>
      <c r="M483" s="86"/>
      <c r="N483" s="74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</row>
    <row r="484" spans="1:34">
      <c r="A484" s="21"/>
      <c r="B484" s="21"/>
      <c r="C484" s="21"/>
      <c r="D484" s="21"/>
      <c r="E484" s="21"/>
      <c r="F484" s="21"/>
      <c r="G484" s="21"/>
      <c r="H484" s="21"/>
      <c r="I484" s="21"/>
      <c r="J484" s="86"/>
      <c r="K484" s="72"/>
      <c r="L484" s="21"/>
      <c r="M484" s="86"/>
      <c r="N484" s="74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</row>
    <row r="485" spans="1:34">
      <c r="A485" s="21"/>
      <c r="B485" s="21"/>
      <c r="C485" s="21"/>
      <c r="D485" s="21"/>
      <c r="E485" s="21"/>
      <c r="F485" s="21"/>
      <c r="G485" s="21"/>
      <c r="H485" s="21"/>
      <c r="I485" s="21"/>
      <c r="J485" s="86"/>
      <c r="K485" s="72"/>
      <c r="L485" s="21"/>
      <c r="M485" s="86"/>
      <c r="N485" s="74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</row>
    <row r="486" spans="1:34">
      <c r="A486" s="21"/>
      <c r="B486" s="21"/>
      <c r="C486" s="21"/>
      <c r="D486" s="21"/>
      <c r="E486" s="21"/>
      <c r="F486" s="21"/>
      <c r="G486" s="21"/>
      <c r="H486" s="21"/>
      <c r="I486" s="21"/>
      <c r="J486" s="86"/>
      <c r="K486" s="72"/>
      <c r="L486" s="21"/>
      <c r="M486" s="86"/>
      <c r="N486" s="74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</row>
    <row r="487" spans="1:34">
      <c r="A487" s="21"/>
      <c r="B487" s="21"/>
      <c r="C487" s="21"/>
      <c r="D487" s="21"/>
      <c r="E487" s="21"/>
      <c r="F487" s="21"/>
      <c r="G487" s="21"/>
      <c r="H487" s="21"/>
      <c r="I487" s="21"/>
      <c r="J487" s="86"/>
      <c r="K487" s="72"/>
      <c r="L487" s="21"/>
      <c r="M487" s="86"/>
      <c r="N487" s="74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</row>
    <row r="488" spans="1:34">
      <c r="A488" s="21"/>
      <c r="B488" s="21"/>
      <c r="C488" s="21"/>
      <c r="D488" s="21"/>
      <c r="E488" s="21"/>
      <c r="F488" s="21"/>
      <c r="G488" s="21"/>
      <c r="H488" s="21"/>
      <c r="I488" s="21"/>
      <c r="J488" s="86"/>
      <c r="K488" s="72"/>
      <c r="L488" s="21"/>
      <c r="M488" s="86"/>
      <c r="N488" s="74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</row>
    <row r="489" spans="1:34">
      <c r="A489" s="21"/>
      <c r="B489" s="21"/>
      <c r="C489" s="21"/>
      <c r="D489" s="21"/>
      <c r="E489" s="21"/>
      <c r="F489" s="21"/>
      <c r="G489" s="21"/>
      <c r="H489" s="21"/>
      <c r="I489" s="21"/>
      <c r="J489" s="86"/>
      <c r="K489" s="72"/>
      <c r="L489" s="21"/>
      <c r="M489" s="86"/>
      <c r="N489" s="74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</row>
    <row r="490" spans="1:34">
      <c r="A490" s="21"/>
      <c r="B490" s="21"/>
      <c r="C490" s="21"/>
      <c r="D490" s="21"/>
      <c r="E490" s="21"/>
      <c r="F490" s="21"/>
      <c r="G490" s="21"/>
      <c r="H490" s="21"/>
      <c r="I490" s="21"/>
      <c r="J490" s="86"/>
      <c r="K490" s="72"/>
      <c r="L490" s="21"/>
      <c r="M490" s="86"/>
      <c r="N490" s="74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</row>
    <row r="491" spans="1:34">
      <c r="A491" s="21"/>
      <c r="B491" s="21"/>
      <c r="C491" s="21"/>
      <c r="D491" s="21"/>
      <c r="E491" s="21"/>
      <c r="F491" s="21"/>
      <c r="G491" s="21"/>
      <c r="H491" s="21"/>
      <c r="I491" s="21"/>
      <c r="J491" s="86"/>
      <c r="K491" s="72"/>
      <c r="L491" s="21"/>
      <c r="M491" s="86"/>
      <c r="N491" s="74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</row>
    <row r="492" spans="1:34">
      <c r="A492" s="21"/>
      <c r="B492" s="21"/>
      <c r="C492" s="21"/>
      <c r="D492" s="21"/>
      <c r="E492" s="21"/>
      <c r="F492" s="21"/>
      <c r="G492" s="21"/>
      <c r="H492" s="21"/>
      <c r="I492" s="21"/>
      <c r="J492" s="86"/>
      <c r="K492" s="72"/>
      <c r="L492" s="21"/>
      <c r="M492" s="86"/>
      <c r="N492" s="74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</row>
    <row r="493" spans="1:34">
      <c r="A493" s="21"/>
      <c r="B493" s="21"/>
      <c r="C493" s="21"/>
      <c r="D493" s="21"/>
      <c r="E493" s="21"/>
      <c r="F493" s="21"/>
      <c r="G493" s="21"/>
      <c r="H493" s="21"/>
      <c r="I493" s="21"/>
      <c r="J493" s="86"/>
      <c r="K493" s="72"/>
      <c r="L493" s="21"/>
      <c r="M493" s="86"/>
      <c r="N493" s="74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</row>
    <row r="494" spans="1:34">
      <c r="A494" s="21"/>
      <c r="B494" s="21"/>
      <c r="C494" s="21"/>
      <c r="D494" s="21"/>
      <c r="E494" s="21"/>
      <c r="F494" s="21"/>
      <c r="G494" s="21"/>
      <c r="H494" s="21"/>
      <c r="I494" s="21"/>
      <c r="J494" s="86"/>
      <c r="K494" s="72"/>
      <c r="L494" s="21"/>
      <c r="M494" s="86"/>
      <c r="N494" s="74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</row>
    <row r="495" spans="1:34">
      <c r="A495" s="21"/>
      <c r="B495" s="21"/>
      <c r="C495" s="21"/>
      <c r="D495" s="21"/>
      <c r="E495" s="21"/>
      <c r="F495" s="21"/>
      <c r="G495" s="21"/>
      <c r="H495" s="21"/>
      <c r="I495" s="21"/>
      <c r="J495" s="86"/>
      <c r="K495" s="72"/>
      <c r="L495" s="21"/>
      <c r="M495" s="86"/>
      <c r="N495" s="74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</row>
    <row r="496" spans="1:34">
      <c r="A496" s="21"/>
      <c r="B496" s="21"/>
      <c r="C496" s="21"/>
      <c r="D496" s="21"/>
      <c r="E496" s="21"/>
      <c r="F496" s="21"/>
      <c r="G496" s="21"/>
      <c r="H496" s="21"/>
      <c r="I496" s="21"/>
      <c r="J496" s="86"/>
      <c r="K496" s="72"/>
      <c r="L496" s="21"/>
      <c r="M496" s="86"/>
      <c r="N496" s="74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</row>
    <row r="497" spans="1:34">
      <c r="A497" s="21"/>
      <c r="B497" s="21"/>
      <c r="C497" s="21"/>
      <c r="D497" s="21"/>
      <c r="E497" s="21"/>
      <c r="F497" s="21"/>
      <c r="G497" s="21"/>
      <c r="H497" s="21"/>
      <c r="I497" s="21"/>
      <c r="J497" s="86"/>
      <c r="K497" s="72"/>
      <c r="L497" s="21"/>
      <c r="M497" s="86"/>
      <c r="N497" s="74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</row>
    <row r="498" spans="1:34">
      <c r="A498" s="21"/>
      <c r="B498" s="21"/>
      <c r="C498" s="21"/>
      <c r="D498" s="21"/>
      <c r="E498" s="21"/>
      <c r="F498" s="21"/>
      <c r="G498" s="21"/>
      <c r="H498" s="21"/>
      <c r="I498" s="21"/>
      <c r="J498" s="86"/>
      <c r="K498" s="72"/>
      <c r="L498" s="21"/>
      <c r="M498" s="86"/>
      <c r="N498" s="74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</row>
    <row r="499" spans="1:34">
      <c r="A499" s="21"/>
      <c r="B499" s="21"/>
      <c r="C499" s="21"/>
      <c r="D499" s="21"/>
      <c r="E499" s="21"/>
      <c r="F499" s="21"/>
      <c r="G499" s="21"/>
      <c r="H499" s="21"/>
      <c r="I499" s="21"/>
      <c r="J499" s="86"/>
      <c r="K499" s="72"/>
      <c r="L499" s="21"/>
      <c r="M499" s="86"/>
      <c r="N499" s="74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</row>
    <row r="500" spans="1:34">
      <c r="A500" s="21"/>
      <c r="B500" s="21"/>
      <c r="C500" s="21"/>
      <c r="D500" s="21"/>
      <c r="E500" s="21"/>
      <c r="F500" s="21"/>
      <c r="G500" s="21"/>
      <c r="H500" s="21"/>
      <c r="I500" s="21"/>
      <c r="J500" s="86"/>
      <c r="K500" s="72"/>
      <c r="L500" s="21"/>
      <c r="M500" s="86"/>
      <c r="N500" s="74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</row>
    <row r="501" spans="1:34">
      <c r="A501" s="21"/>
      <c r="B501" s="21"/>
      <c r="C501" s="21"/>
      <c r="D501" s="21"/>
      <c r="E501" s="21"/>
      <c r="F501" s="21"/>
      <c r="G501" s="21"/>
      <c r="H501" s="21"/>
      <c r="I501" s="21"/>
      <c r="J501" s="86"/>
      <c r="K501" s="72"/>
      <c r="L501" s="21"/>
      <c r="M501" s="86"/>
      <c r="N501" s="74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</row>
    <row r="502" spans="1:34">
      <c r="A502" s="21"/>
      <c r="B502" s="21"/>
      <c r="C502" s="21"/>
      <c r="D502" s="21"/>
      <c r="E502" s="21"/>
      <c r="F502" s="21"/>
      <c r="G502" s="21"/>
      <c r="H502" s="21"/>
      <c r="I502" s="21"/>
      <c r="J502" s="86"/>
      <c r="K502" s="72"/>
      <c r="L502" s="21"/>
      <c r="M502" s="86"/>
      <c r="N502" s="74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</row>
    <row r="503" spans="1:34">
      <c r="A503" s="21"/>
      <c r="B503" s="21"/>
      <c r="C503" s="21"/>
      <c r="D503" s="21"/>
      <c r="E503" s="21"/>
      <c r="F503" s="21"/>
      <c r="G503" s="21"/>
      <c r="H503" s="21"/>
      <c r="I503" s="21"/>
      <c r="J503" s="86"/>
      <c r="K503" s="72"/>
      <c r="L503" s="21"/>
      <c r="M503" s="86"/>
      <c r="N503" s="74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</row>
    <row r="504" spans="1:34">
      <c r="A504" s="21"/>
      <c r="B504" s="21"/>
      <c r="C504" s="21"/>
      <c r="D504" s="21"/>
      <c r="E504" s="21"/>
      <c r="F504" s="21"/>
      <c r="G504" s="21"/>
      <c r="H504" s="21"/>
      <c r="I504" s="21"/>
      <c r="J504" s="86"/>
      <c r="K504" s="72"/>
      <c r="L504" s="21"/>
      <c r="M504" s="86"/>
      <c r="N504" s="74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</row>
    <row r="505" spans="1:34">
      <c r="A505" s="21"/>
      <c r="B505" s="21"/>
      <c r="C505" s="21"/>
      <c r="D505" s="21"/>
      <c r="E505" s="21"/>
      <c r="F505" s="21"/>
      <c r="G505" s="21"/>
      <c r="H505" s="21"/>
      <c r="I505" s="21"/>
      <c r="J505" s="86"/>
      <c r="K505" s="72"/>
      <c r="L505" s="21"/>
      <c r="M505" s="86"/>
      <c r="N505" s="74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</row>
    <row r="506" spans="1:34">
      <c r="A506" s="21"/>
      <c r="B506" s="21"/>
      <c r="C506" s="21"/>
      <c r="D506" s="21"/>
      <c r="E506" s="21"/>
      <c r="F506" s="21"/>
      <c r="G506" s="21"/>
      <c r="H506" s="21"/>
      <c r="I506" s="21"/>
      <c r="J506" s="86"/>
      <c r="K506" s="72"/>
      <c r="L506" s="21"/>
      <c r="M506" s="86"/>
      <c r="N506" s="74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</row>
    <row r="507" spans="1:34">
      <c r="A507" s="21"/>
      <c r="B507" s="21"/>
      <c r="C507" s="21"/>
      <c r="D507" s="21"/>
      <c r="E507" s="21"/>
      <c r="F507" s="21"/>
      <c r="G507" s="21"/>
      <c r="H507" s="21"/>
      <c r="I507" s="21"/>
      <c r="J507" s="86"/>
      <c r="K507" s="72"/>
      <c r="L507" s="21"/>
      <c r="M507" s="86"/>
      <c r="N507" s="74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</row>
    <row r="508" spans="1:34">
      <c r="A508" s="21"/>
      <c r="B508" s="21"/>
      <c r="C508" s="21"/>
      <c r="D508" s="21"/>
      <c r="E508" s="21"/>
      <c r="F508" s="21"/>
      <c r="G508" s="21"/>
      <c r="H508" s="21"/>
      <c r="I508" s="21"/>
      <c r="J508" s="86"/>
      <c r="K508" s="72"/>
      <c r="L508" s="21"/>
      <c r="M508" s="86"/>
      <c r="N508" s="74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</row>
    <row r="509" spans="1:34">
      <c r="A509" s="21"/>
      <c r="B509" s="21"/>
      <c r="C509" s="21"/>
      <c r="D509" s="21"/>
      <c r="E509" s="21"/>
      <c r="F509" s="21"/>
      <c r="G509" s="21"/>
      <c r="H509" s="21"/>
      <c r="I509" s="21"/>
      <c r="J509" s="86"/>
      <c r="K509" s="72"/>
      <c r="L509" s="21"/>
      <c r="M509" s="86"/>
      <c r="N509" s="74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</row>
    <row r="510" spans="1:34">
      <c r="A510" s="21"/>
      <c r="B510" s="21"/>
      <c r="C510" s="21"/>
      <c r="D510" s="21"/>
      <c r="E510" s="21"/>
      <c r="F510" s="21"/>
      <c r="G510" s="21"/>
      <c r="H510" s="21"/>
      <c r="I510" s="21"/>
      <c r="J510" s="86"/>
      <c r="K510" s="72"/>
      <c r="L510" s="21"/>
      <c r="M510" s="86"/>
      <c r="N510" s="74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</row>
    <row r="511" spans="1:34">
      <c r="A511" s="21"/>
      <c r="B511" s="21"/>
      <c r="C511" s="21"/>
      <c r="D511" s="21"/>
      <c r="E511" s="21"/>
      <c r="F511" s="21"/>
      <c r="G511" s="21"/>
      <c r="H511" s="21"/>
      <c r="I511" s="21"/>
      <c r="J511" s="86"/>
      <c r="K511" s="72"/>
      <c r="L511" s="21"/>
      <c r="M511" s="86"/>
      <c r="N511" s="74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</row>
    <row r="512" spans="1:34">
      <c r="A512" s="21"/>
      <c r="B512" s="21"/>
      <c r="C512" s="21"/>
      <c r="D512" s="21"/>
      <c r="E512" s="21"/>
      <c r="F512" s="21"/>
      <c r="G512" s="21"/>
      <c r="H512" s="21"/>
      <c r="I512" s="21"/>
      <c r="J512" s="86"/>
      <c r="K512" s="72"/>
      <c r="L512" s="21"/>
      <c r="M512" s="86"/>
      <c r="N512" s="74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</row>
    <row r="513" spans="1:34">
      <c r="A513" s="21"/>
      <c r="B513" s="21"/>
      <c r="C513" s="21"/>
      <c r="D513" s="21"/>
      <c r="E513" s="21"/>
      <c r="F513" s="21"/>
      <c r="G513" s="21"/>
      <c r="H513" s="21"/>
      <c r="I513" s="21"/>
      <c r="J513" s="86"/>
      <c r="K513" s="72"/>
      <c r="L513" s="21"/>
      <c r="M513" s="86"/>
      <c r="N513" s="74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</row>
    <row r="514" spans="1:34">
      <c r="A514" s="21"/>
      <c r="B514" s="21"/>
      <c r="C514" s="21"/>
      <c r="D514" s="21"/>
      <c r="E514" s="21"/>
      <c r="F514" s="21"/>
      <c r="G514" s="21"/>
      <c r="H514" s="21"/>
      <c r="I514" s="21"/>
      <c r="J514" s="86"/>
      <c r="K514" s="72"/>
      <c r="L514" s="21"/>
      <c r="M514" s="86"/>
      <c r="N514" s="74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</row>
    <row r="515" spans="1:34">
      <c r="A515" s="21"/>
      <c r="B515" s="21"/>
      <c r="C515" s="21"/>
      <c r="D515" s="21"/>
      <c r="E515" s="21"/>
      <c r="F515" s="21"/>
      <c r="G515" s="21"/>
      <c r="H515" s="21"/>
      <c r="I515" s="21"/>
      <c r="J515" s="86"/>
      <c r="K515" s="72"/>
      <c r="L515" s="21"/>
      <c r="M515" s="86"/>
      <c r="N515" s="74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</row>
    <row r="516" spans="1:34">
      <c r="A516" s="21"/>
      <c r="B516" s="21"/>
      <c r="C516" s="21"/>
      <c r="D516" s="21"/>
      <c r="E516" s="21"/>
      <c r="F516" s="21"/>
      <c r="G516" s="21"/>
      <c r="H516" s="21"/>
      <c r="I516" s="21"/>
      <c r="J516" s="86"/>
      <c r="K516" s="72"/>
      <c r="L516" s="21"/>
      <c r="M516" s="86"/>
      <c r="N516" s="74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</row>
    <row r="517" spans="1:34">
      <c r="A517" s="21"/>
      <c r="B517" s="21"/>
      <c r="C517" s="21"/>
      <c r="D517" s="21"/>
      <c r="E517" s="21"/>
      <c r="F517" s="21"/>
      <c r="G517" s="21"/>
      <c r="H517" s="21"/>
      <c r="I517" s="21"/>
      <c r="J517" s="86"/>
      <c r="K517" s="72"/>
      <c r="L517" s="21"/>
      <c r="M517" s="86"/>
      <c r="N517" s="74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</row>
    <row r="518" spans="1:34">
      <c r="A518" s="21"/>
      <c r="B518" s="21"/>
      <c r="C518" s="21"/>
      <c r="D518" s="21"/>
      <c r="E518" s="21"/>
      <c r="F518" s="21"/>
      <c r="G518" s="21"/>
      <c r="H518" s="21"/>
      <c r="I518" s="21"/>
      <c r="J518" s="86"/>
      <c r="K518" s="72"/>
      <c r="L518" s="21"/>
      <c r="M518" s="86"/>
      <c r="N518" s="74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</row>
    <row r="519" spans="1:34">
      <c r="A519" s="21"/>
      <c r="B519" s="21"/>
      <c r="C519" s="21"/>
      <c r="D519" s="21"/>
      <c r="E519" s="21"/>
      <c r="F519" s="21"/>
      <c r="G519" s="21"/>
      <c r="H519" s="21"/>
      <c r="I519" s="21"/>
      <c r="J519" s="86"/>
      <c r="K519" s="72"/>
      <c r="L519" s="21"/>
      <c r="M519" s="86"/>
      <c r="N519" s="74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</row>
    <row r="520" spans="1:34">
      <c r="A520" s="21"/>
      <c r="B520" s="21"/>
      <c r="C520" s="21"/>
      <c r="D520" s="21"/>
      <c r="E520" s="21"/>
      <c r="F520" s="21"/>
      <c r="G520" s="21"/>
      <c r="H520" s="21"/>
      <c r="I520" s="21"/>
      <c r="J520" s="86"/>
      <c r="K520" s="72"/>
      <c r="L520" s="21"/>
      <c r="M520" s="86"/>
      <c r="N520" s="74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</row>
    <row r="521" spans="1:34">
      <c r="A521" s="21"/>
      <c r="B521" s="21"/>
      <c r="C521" s="21"/>
      <c r="D521" s="21"/>
      <c r="E521" s="21"/>
      <c r="F521" s="21"/>
      <c r="G521" s="21"/>
      <c r="H521" s="21"/>
      <c r="I521" s="21"/>
      <c r="J521" s="86"/>
      <c r="K521" s="72"/>
      <c r="L521" s="21"/>
      <c r="M521" s="86"/>
      <c r="N521" s="74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</row>
    <row r="522" spans="1:34">
      <c r="A522" s="21"/>
      <c r="B522" s="21"/>
      <c r="C522" s="21"/>
      <c r="D522" s="21"/>
      <c r="E522" s="21"/>
      <c r="F522" s="21"/>
      <c r="G522" s="21"/>
      <c r="H522" s="21"/>
      <c r="I522" s="21"/>
      <c r="J522" s="86"/>
      <c r="K522" s="72"/>
      <c r="L522" s="21"/>
      <c r="M522" s="86"/>
      <c r="N522" s="74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</row>
    <row r="523" spans="1:34">
      <c r="A523" s="21"/>
      <c r="B523" s="21"/>
      <c r="C523" s="21"/>
      <c r="D523" s="21"/>
      <c r="E523" s="21"/>
      <c r="F523" s="21"/>
      <c r="G523" s="21"/>
      <c r="H523" s="21"/>
      <c r="I523" s="21"/>
      <c r="J523" s="86"/>
      <c r="K523" s="72"/>
      <c r="L523" s="21"/>
      <c r="M523" s="86"/>
      <c r="N523" s="74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</row>
    <row r="524" spans="1:34">
      <c r="A524" s="21"/>
      <c r="B524" s="21"/>
      <c r="C524" s="21"/>
      <c r="D524" s="21"/>
      <c r="E524" s="21"/>
      <c r="F524" s="21"/>
      <c r="G524" s="21"/>
      <c r="H524" s="21"/>
      <c r="I524" s="21"/>
      <c r="J524" s="86"/>
      <c r="K524" s="72"/>
      <c r="L524" s="21"/>
      <c r="M524" s="86"/>
      <c r="N524" s="74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</row>
    <row r="525" spans="1:34">
      <c r="A525" s="21"/>
      <c r="B525" s="21"/>
      <c r="C525" s="21"/>
      <c r="D525" s="21"/>
      <c r="E525" s="21"/>
      <c r="F525" s="21"/>
      <c r="G525" s="21"/>
      <c r="H525" s="21"/>
      <c r="I525" s="21"/>
      <c r="J525" s="86"/>
      <c r="K525" s="72"/>
      <c r="L525" s="21"/>
      <c r="M525" s="86"/>
      <c r="N525" s="74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</row>
  </sheetData>
  <autoFilter ref="J1:N241"/>
  <phoneticPr fontId="3" type="noConversion"/>
  <pageMargins left="0.75" right="0.75" top="1" bottom="1" header="0.5" footer="0.5"/>
  <pageSetup paperSize="9" scale="80" orientation="portrait" horizontalDpi="4294967294" r:id="rId1"/>
  <headerFooter alignWithMargins="0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8"/>
  <dimension ref="A1:AE365"/>
  <sheetViews>
    <sheetView showGridLines="0" view="pageBreakPreview" zoomScaleNormal="100" workbookViewId="0">
      <selection activeCell="J1" sqref="J1"/>
    </sheetView>
  </sheetViews>
  <sheetFormatPr defaultRowHeight="12.75"/>
  <cols>
    <col min="2" max="2" width="19.140625" hidden="1" customWidth="1"/>
    <col min="3" max="7" width="0" hidden="1" customWidth="1"/>
    <col min="9" max="9" width="16.28515625" customWidth="1"/>
    <col min="10" max="10" width="30.85546875" style="87" customWidth="1"/>
    <col min="11" max="11" width="13.85546875" style="77" bestFit="1" customWidth="1"/>
    <col min="12" max="12" width="11.140625" hidden="1" customWidth="1"/>
    <col min="13" max="13" width="27.28515625" style="87" customWidth="1"/>
    <col min="14" max="14" width="11.42578125" style="75" bestFit="1" customWidth="1"/>
  </cols>
  <sheetData>
    <row r="1" spans="2:31" ht="19.5" thickTop="1" thickBot="1">
      <c r="C1" s="56"/>
      <c r="D1" s="18"/>
      <c r="E1" s="56"/>
      <c r="J1" s="58" t="s">
        <v>12</v>
      </c>
      <c r="K1" s="57" t="s">
        <v>13</v>
      </c>
      <c r="L1" s="58"/>
      <c r="M1" s="89" t="s">
        <v>14</v>
      </c>
      <c r="N1" s="58" t="s">
        <v>15</v>
      </c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2:31" ht="17.25" thickTop="1" thickBot="1">
      <c r="B2" t="str">
        <f>wyniki!B8</f>
        <v>Dąbrowski Mateusz</v>
      </c>
      <c r="C2" s="56">
        <f>wyniki!K8</f>
        <v>337.82</v>
      </c>
      <c r="D2" s="18">
        <v>-1.0000000000000001E-5</v>
      </c>
      <c r="E2" s="56">
        <f>IF(C2&gt;1,G2+D2)</f>
        <v>-337.82000999999997</v>
      </c>
      <c r="F2" t="str">
        <f>wyniki!$A$7</f>
        <v>SP8 Siedlce</v>
      </c>
      <c r="G2" s="56">
        <f>-C2</f>
        <v>-337.82</v>
      </c>
      <c r="J2" s="79" t="str">
        <f>INDEX($B$2:$E$241,L2,1)</f>
        <v>Balcer Antoni</v>
      </c>
      <c r="K2" s="61">
        <f>-LARGE($E$2:$E$241,1)</f>
        <v>302.57060999999999</v>
      </c>
      <c r="L2" s="59">
        <f>MATCH(-K2,$E$2:$E$241,0)</f>
        <v>61</v>
      </c>
      <c r="M2" s="90" t="str">
        <f>INDEX($E$2:$F$241,L2,2)</f>
        <v>SP2 Zielonka</v>
      </c>
      <c r="N2" s="37">
        <v>1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2:31" ht="17.25" thickTop="1" thickBot="1">
      <c r="B3" t="str">
        <f>wyniki!B9</f>
        <v>Iliński Aleksander</v>
      </c>
      <c r="C3" s="56">
        <f>wyniki!K9</f>
        <v>340.68</v>
      </c>
      <c r="D3" s="18">
        <v>-2.0000000000000002E-5</v>
      </c>
      <c r="E3" s="56">
        <f t="shared" ref="E3:E66" si="0">IF(C3&gt;1,G3+D3)</f>
        <v>-340.68002000000001</v>
      </c>
      <c r="F3" t="str">
        <f>wyniki!$A$7</f>
        <v>SP8 Siedlce</v>
      </c>
      <c r="G3" s="56">
        <f t="shared" ref="G3:G66" si="1">-C3</f>
        <v>-340.68</v>
      </c>
      <c r="J3" s="79" t="str">
        <f t="shared" ref="J3:J66" si="2">INDEX($B$2:$E$241,L3,1)</f>
        <v>Kałęcki Bartosz</v>
      </c>
      <c r="K3" s="61">
        <f>-LARGE($E$2:$E$241,2)</f>
        <v>307.53050999999999</v>
      </c>
      <c r="L3" s="59">
        <f>MATCH(-K3,$E$2:$E$241,0)</f>
        <v>51</v>
      </c>
      <c r="M3" s="90" t="str">
        <f t="shared" ref="M3:M66" si="3">INDEX($E$2:$F$241,L3,2)</f>
        <v>SP154 Warszawa</v>
      </c>
      <c r="N3" s="37">
        <v>2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2:31" ht="17.25" thickTop="1" thickBot="1">
      <c r="B4" t="str">
        <f>wyniki!B10</f>
        <v>Ługowski Bartosz</v>
      </c>
      <c r="C4" s="56">
        <f>wyniki!K10</f>
        <v>343.46</v>
      </c>
      <c r="D4" s="18">
        <v>-3.0000000000000001E-5</v>
      </c>
      <c r="E4" s="56">
        <f t="shared" si="0"/>
        <v>-343.46002999999996</v>
      </c>
      <c r="F4" t="str">
        <f>wyniki!$A$7</f>
        <v>SP8 Siedlce</v>
      </c>
      <c r="G4" s="56">
        <f t="shared" si="1"/>
        <v>-343.46</v>
      </c>
      <c r="J4" s="79" t="str">
        <f t="shared" si="2"/>
        <v>Równy Krystian</v>
      </c>
      <c r="K4" s="61">
        <f>-LARGE($E$2:$E$241,3)</f>
        <v>313.71035999999998</v>
      </c>
      <c r="L4" s="59">
        <f t="shared" ref="L4:L67" si="4">MATCH(-K4,$E$2:$E$241,0)</f>
        <v>36</v>
      </c>
      <c r="M4" s="90" t="str">
        <f t="shared" si="3"/>
        <v>SP1 Ostrów Maz</v>
      </c>
      <c r="N4" s="37">
        <v>3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spans="2:31" ht="17.25" thickTop="1" thickBot="1">
      <c r="B5" t="str">
        <f>wyniki!B11</f>
        <v>Redes Maciej</v>
      </c>
      <c r="C5" s="56">
        <f>wyniki!K11</f>
        <v>335.84</v>
      </c>
      <c r="D5" s="18">
        <v>-4.0000000000000003E-5</v>
      </c>
      <c r="E5" s="56">
        <f t="shared" si="0"/>
        <v>-335.84003999999999</v>
      </c>
      <c r="F5" t="str">
        <f>wyniki!$A$7</f>
        <v>SP8 Siedlce</v>
      </c>
      <c r="G5" s="56">
        <f t="shared" si="1"/>
        <v>-335.84</v>
      </c>
      <c r="J5" s="79" t="str">
        <f t="shared" si="2"/>
        <v>Mirecki Mateusz</v>
      </c>
      <c r="K5" s="61">
        <f>-LARGE($E$2:$E$241,4)</f>
        <v>314.75038000000001</v>
      </c>
      <c r="L5" s="59">
        <f t="shared" si="4"/>
        <v>38</v>
      </c>
      <c r="M5" s="90" t="str">
        <f t="shared" si="3"/>
        <v>SP204 Warszawa</v>
      </c>
      <c r="N5" s="37">
        <v>4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2:31" ht="17.25" thickTop="1" thickBot="1">
      <c r="B6" t="str">
        <f>wyniki!B12</f>
        <v>Świder Tymoteusz</v>
      </c>
      <c r="C6" s="56">
        <f>wyniki!K12</f>
        <v>323.33</v>
      </c>
      <c r="D6" s="18">
        <v>-5.0000000000000002E-5</v>
      </c>
      <c r="E6" s="56">
        <f t="shared" si="0"/>
        <v>-323.33004999999997</v>
      </c>
      <c r="F6" t="str">
        <f>wyniki!$A$7</f>
        <v>SP8 Siedlce</v>
      </c>
      <c r="G6" s="56">
        <f t="shared" si="1"/>
        <v>-323.33</v>
      </c>
      <c r="J6" s="79" t="str">
        <f t="shared" si="2"/>
        <v>Sypiański Szymon</v>
      </c>
      <c r="K6" s="61">
        <f>-LARGE($E$2:$E$241,5)</f>
        <v>318.09028999999998</v>
      </c>
      <c r="L6" s="59">
        <f t="shared" si="4"/>
        <v>29</v>
      </c>
      <c r="M6" s="90" t="str">
        <f t="shared" si="3"/>
        <v>SP9 Siedlce</v>
      </c>
      <c r="N6" s="37">
        <v>5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2:31" ht="17.25" thickTop="1" thickBot="1">
      <c r="B7" t="str">
        <f>wyniki!B13</f>
        <v>Nitychoruk Maciej</v>
      </c>
      <c r="C7" s="56">
        <f>wyniki!K13</f>
        <v>355.41</v>
      </c>
      <c r="D7" s="18">
        <v>-6.0000000000000002E-5</v>
      </c>
      <c r="E7" s="56">
        <f t="shared" si="0"/>
        <v>-355.41006000000004</v>
      </c>
      <c r="F7" t="str">
        <f>wyniki!$A$7</f>
        <v>SP8 Siedlce</v>
      </c>
      <c r="G7" s="56">
        <f t="shared" si="1"/>
        <v>-355.41</v>
      </c>
      <c r="J7" s="79" t="str">
        <f t="shared" si="2"/>
        <v>Zieniewicz Franciszek</v>
      </c>
      <c r="K7" s="61">
        <f>-LARGE($E$2:$E$241,6)</f>
        <v>319.14042000000001</v>
      </c>
      <c r="L7" s="59">
        <f t="shared" si="4"/>
        <v>42</v>
      </c>
      <c r="M7" s="90" t="str">
        <f t="shared" si="3"/>
        <v>SP204 Warszawa</v>
      </c>
      <c r="N7" s="37">
        <v>6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2:31" ht="17.25" thickTop="1" thickBot="1">
      <c r="B8" t="str">
        <f>wyniki!B15</f>
        <v>Kołacz Nikodem</v>
      </c>
      <c r="C8" s="56">
        <f>wyniki!K15</f>
        <v>0</v>
      </c>
      <c r="D8" s="18">
        <v>-6.9999999999999994E-5</v>
      </c>
      <c r="E8" s="56" t="b">
        <f t="shared" si="0"/>
        <v>0</v>
      </c>
      <c r="F8" t="str">
        <f>wyniki!$A$14</f>
        <v>PSP24 Radom</v>
      </c>
      <c r="G8" s="56">
        <f t="shared" si="1"/>
        <v>0</v>
      </c>
      <c r="J8" s="79" t="str">
        <f t="shared" si="2"/>
        <v>Dąbrowski Franciszek</v>
      </c>
      <c r="K8" s="61">
        <f>-LARGE($E$2:$E$241,7)</f>
        <v>320.62049999999999</v>
      </c>
      <c r="L8" s="59">
        <f t="shared" si="4"/>
        <v>50</v>
      </c>
      <c r="M8" s="90" t="str">
        <f t="shared" si="3"/>
        <v>SP154 Warszawa</v>
      </c>
      <c r="N8" s="37">
        <v>7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2:31" ht="17.25" thickTop="1" thickBot="1">
      <c r="B9" t="str">
        <f>wyniki!B16</f>
        <v>Komar Wojciech</v>
      </c>
      <c r="C9" s="56">
        <f>wyniki!K16</f>
        <v>347.31</v>
      </c>
      <c r="D9" s="18">
        <v>-8.0000000000000007E-5</v>
      </c>
      <c r="E9" s="56">
        <f t="shared" si="0"/>
        <v>-347.31008000000003</v>
      </c>
      <c r="F9" t="str">
        <f>wyniki!$A$14</f>
        <v>PSP24 Radom</v>
      </c>
      <c r="G9" s="56">
        <f t="shared" si="1"/>
        <v>-347.31</v>
      </c>
      <c r="J9" s="79" t="str">
        <f t="shared" si="2"/>
        <v>Miron Artur</v>
      </c>
      <c r="K9" s="61">
        <f>-LARGE($E$2:$E$241,8)</f>
        <v>321.47017000000005</v>
      </c>
      <c r="L9" s="59">
        <f t="shared" si="4"/>
        <v>17</v>
      </c>
      <c r="M9" s="90" t="str">
        <f t="shared" si="3"/>
        <v>SP4 Pruszków</v>
      </c>
      <c r="N9" s="37">
        <v>8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2:31" ht="17.25" thickTop="1" thickBot="1">
      <c r="B10" t="str">
        <f>wyniki!B17</f>
        <v>Markwat Natan</v>
      </c>
      <c r="C10" s="56">
        <f>wyniki!K17</f>
        <v>0</v>
      </c>
      <c r="D10" s="18">
        <v>-9.0000000000000006E-5</v>
      </c>
      <c r="E10" s="56" t="b">
        <f t="shared" si="0"/>
        <v>0</v>
      </c>
      <c r="F10" t="str">
        <f>wyniki!$A$14</f>
        <v>PSP24 Radom</v>
      </c>
      <c r="G10" s="56">
        <f t="shared" si="1"/>
        <v>0</v>
      </c>
      <c r="J10" s="79" t="str">
        <f t="shared" si="2"/>
        <v>Maliszewski Michał</v>
      </c>
      <c r="K10" s="61">
        <f>-LARGE($E$2:$E$241,9)</f>
        <v>323.09035</v>
      </c>
      <c r="L10" s="59">
        <f t="shared" si="4"/>
        <v>35</v>
      </c>
      <c r="M10" s="90" t="str">
        <f t="shared" si="3"/>
        <v>SP1 Ostrów Maz</v>
      </c>
      <c r="N10" s="37">
        <v>9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2:31" ht="17.25" thickTop="1" thickBot="1">
      <c r="B11" t="str">
        <f>wyniki!B18</f>
        <v>Nowak Aleksander</v>
      </c>
      <c r="C11" s="56">
        <f>wyniki!K18</f>
        <v>343.51</v>
      </c>
      <c r="D11" s="18">
        <v>-1E-4</v>
      </c>
      <c r="E11" s="56">
        <f t="shared" si="0"/>
        <v>-343.51009999999997</v>
      </c>
      <c r="F11" t="str">
        <f>wyniki!$A$14</f>
        <v>PSP24 Radom</v>
      </c>
      <c r="G11" s="56">
        <f t="shared" si="1"/>
        <v>-343.51</v>
      </c>
      <c r="J11" s="79" t="str">
        <f t="shared" si="2"/>
        <v>Karbowski Aleksander</v>
      </c>
      <c r="K11" s="61">
        <f>-LARGE($E$2:$E$241,10)</f>
        <v>323.23036999999999</v>
      </c>
      <c r="L11" s="59">
        <f t="shared" si="4"/>
        <v>37</v>
      </c>
      <c r="M11" s="90" t="str">
        <f t="shared" si="3"/>
        <v>SP204 Warszawa</v>
      </c>
      <c r="N11" s="37">
        <v>10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2:31" ht="17.25" thickTop="1" thickBot="1">
      <c r="B12" t="str">
        <f>wyniki!B19</f>
        <v>Trzos Szymon</v>
      </c>
      <c r="C12" s="56">
        <f>wyniki!K19</f>
        <v>333.68</v>
      </c>
      <c r="D12" s="18">
        <v>-1.1E-4</v>
      </c>
      <c r="E12" s="56">
        <f t="shared" si="0"/>
        <v>-333.68011000000001</v>
      </c>
      <c r="F12" t="str">
        <f>wyniki!$A$14</f>
        <v>PSP24 Radom</v>
      </c>
      <c r="G12" s="56">
        <f t="shared" si="1"/>
        <v>-333.68</v>
      </c>
      <c r="J12" s="79" t="str">
        <f t="shared" si="2"/>
        <v>Świder Tymoteusz</v>
      </c>
      <c r="K12" s="61">
        <f>-LARGE($E$2:$E$241,11)</f>
        <v>323.33004999999997</v>
      </c>
      <c r="L12" s="59">
        <f t="shared" si="4"/>
        <v>5</v>
      </c>
      <c r="M12" s="90" t="str">
        <f t="shared" si="3"/>
        <v>SP8 Siedlce</v>
      </c>
      <c r="N12" s="37">
        <v>11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2:31" ht="17.25" thickTop="1" thickBot="1">
      <c r="B13">
        <f>wyniki!B20</f>
        <v>0</v>
      </c>
      <c r="C13" s="56">
        <f>wyniki!K20</f>
        <v>0</v>
      </c>
      <c r="D13" s="18">
        <v>-1.2E-4</v>
      </c>
      <c r="E13" s="56" t="b">
        <f t="shared" si="0"/>
        <v>0</v>
      </c>
      <c r="F13" t="str">
        <f>wyniki!$A$14</f>
        <v>PSP24 Radom</v>
      </c>
      <c r="G13" s="56">
        <f t="shared" si="1"/>
        <v>0</v>
      </c>
      <c r="J13" s="79" t="str">
        <f t="shared" si="2"/>
        <v>Dąbrowski Bartosz</v>
      </c>
      <c r="K13" s="61">
        <f>-LARGE($E$2:$E$241,12)</f>
        <v>324.18025</v>
      </c>
      <c r="L13" s="59">
        <f t="shared" si="4"/>
        <v>25</v>
      </c>
      <c r="M13" s="90" t="str">
        <f t="shared" si="3"/>
        <v>SP9 Siedlce</v>
      </c>
      <c r="N13" s="37">
        <v>12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2:31" ht="17.25" thickTop="1" thickBot="1">
      <c r="B14" t="str">
        <f>wyniki!B22</f>
        <v>Dąbrowski Aleksander</v>
      </c>
      <c r="C14" s="56">
        <f>wyniki!K22</f>
        <v>333.9</v>
      </c>
      <c r="D14" s="18">
        <v>-1.2999999999999999E-4</v>
      </c>
      <c r="E14" s="56">
        <f t="shared" si="0"/>
        <v>-333.90012999999999</v>
      </c>
      <c r="F14" t="str">
        <f>wyniki!$A$21</f>
        <v>SP4 Pruszków</v>
      </c>
      <c r="G14" s="56">
        <f t="shared" si="1"/>
        <v>-333.9</v>
      </c>
      <c r="J14" s="79" t="str">
        <f t="shared" si="2"/>
        <v>Ducki Michał</v>
      </c>
      <c r="K14" s="61">
        <f>-LARGE($E$2:$E$241,13)</f>
        <v>324.77062999999998</v>
      </c>
      <c r="L14" s="59">
        <f t="shared" si="4"/>
        <v>63</v>
      </c>
      <c r="M14" s="90" t="str">
        <f t="shared" si="3"/>
        <v>SP2 Zielonka</v>
      </c>
      <c r="N14" s="37">
        <v>13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spans="2:31" ht="17.25" thickTop="1" thickBot="1">
      <c r="B15" t="str">
        <f>wyniki!B23</f>
        <v>Kushchak Kamil</v>
      </c>
      <c r="C15" s="56">
        <f>wyniki!K23</f>
        <v>326.25</v>
      </c>
      <c r="D15" s="18">
        <v>-1.3999999999999999E-4</v>
      </c>
      <c r="E15" s="56">
        <f t="shared" si="0"/>
        <v>-326.25013999999999</v>
      </c>
      <c r="F15" t="str">
        <f>wyniki!$A$21</f>
        <v>SP4 Pruszków</v>
      </c>
      <c r="G15" s="56">
        <f t="shared" si="1"/>
        <v>-326.25</v>
      </c>
      <c r="J15" s="79" t="str">
        <f t="shared" si="2"/>
        <v>Tomiczak Jan</v>
      </c>
      <c r="K15" s="61">
        <f>-LARGE($E$2:$E$241,14)</f>
        <v>325.19053000000002</v>
      </c>
      <c r="L15" s="59">
        <f t="shared" si="4"/>
        <v>53</v>
      </c>
      <c r="M15" s="90" t="str">
        <f t="shared" si="3"/>
        <v>SP154 Warszawa</v>
      </c>
      <c r="N15" s="37">
        <v>14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2:31" ht="17.25" thickTop="1" thickBot="1">
      <c r="B16" t="str">
        <f>wyniki!B24</f>
        <v>Kwiatkowski Julian</v>
      </c>
      <c r="C16" s="56">
        <f>wyniki!K24</f>
        <v>337.74</v>
      </c>
      <c r="D16" s="18">
        <v>-1.4999999999999999E-4</v>
      </c>
      <c r="E16" s="56">
        <f t="shared" si="0"/>
        <v>-337.74015000000003</v>
      </c>
      <c r="F16" t="str">
        <f>wyniki!$A$21</f>
        <v>SP4 Pruszków</v>
      </c>
      <c r="G16" s="56">
        <f t="shared" si="1"/>
        <v>-337.74</v>
      </c>
      <c r="J16" s="79" t="str">
        <f t="shared" si="2"/>
        <v>Maliszewski Jan</v>
      </c>
      <c r="K16" s="61">
        <f>-LARGE($E$2:$E$241,15)</f>
        <v>325.50033999999999</v>
      </c>
      <c r="L16" s="59">
        <f t="shared" si="4"/>
        <v>34</v>
      </c>
      <c r="M16" s="90" t="str">
        <f t="shared" si="3"/>
        <v>SP1 Ostrów Maz</v>
      </c>
      <c r="N16" s="37">
        <v>15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2:31" ht="17.25" thickTop="1" thickBot="1">
      <c r="B17" t="str">
        <f>wyniki!B25</f>
        <v>Lipiński Cyprian</v>
      </c>
      <c r="C17" s="56">
        <f>wyniki!K25</f>
        <v>326.44</v>
      </c>
      <c r="D17" s="18">
        <v>-1.6000000000000001E-4</v>
      </c>
      <c r="E17" s="56">
        <f t="shared" si="0"/>
        <v>-326.44015999999999</v>
      </c>
      <c r="F17" t="str">
        <f>wyniki!$A$21</f>
        <v>SP4 Pruszków</v>
      </c>
      <c r="G17" s="56">
        <f t="shared" si="1"/>
        <v>-326.44</v>
      </c>
      <c r="J17" s="79" t="str">
        <f t="shared" si="2"/>
        <v>Krasuski Jakub</v>
      </c>
      <c r="K17" s="61">
        <f>-LARGE($E$2:$E$241,16)</f>
        <v>325.95026999999999</v>
      </c>
      <c r="L17" s="59">
        <f t="shared" si="4"/>
        <v>27</v>
      </c>
      <c r="M17" s="90" t="str">
        <f t="shared" si="3"/>
        <v>SP9 Siedlce</v>
      </c>
      <c r="N17" s="37">
        <v>16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2:31" ht="17.25" thickTop="1" thickBot="1">
      <c r="B18" t="str">
        <f>wyniki!B26</f>
        <v>Miron Artur</v>
      </c>
      <c r="C18" s="56">
        <f>wyniki!K26</f>
        <v>321.47000000000003</v>
      </c>
      <c r="D18" s="18">
        <v>-1.7000000000000001E-4</v>
      </c>
      <c r="E18" s="56">
        <f t="shared" si="0"/>
        <v>-321.47017000000005</v>
      </c>
      <c r="F18" t="str">
        <f>wyniki!$A$21</f>
        <v>SP4 Pruszków</v>
      </c>
      <c r="G18" s="56">
        <f t="shared" si="1"/>
        <v>-321.47000000000003</v>
      </c>
      <c r="J18" s="79" t="str">
        <f t="shared" si="2"/>
        <v>Kushchak Kamil</v>
      </c>
      <c r="K18" s="61">
        <f>-LARGE($E$2:$E$241,17)</f>
        <v>326.25013999999999</v>
      </c>
      <c r="L18" s="59">
        <f t="shared" si="4"/>
        <v>14</v>
      </c>
      <c r="M18" s="90" t="str">
        <f t="shared" si="3"/>
        <v>SP4 Pruszków</v>
      </c>
      <c r="N18" s="37">
        <v>17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2:31" ht="17.25" thickTop="1" thickBot="1">
      <c r="B19" t="str">
        <f>wyniki!B27</f>
        <v>Zień Paweł</v>
      </c>
      <c r="C19" s="56">
        <f>wyniki!K27</f>
        <v>331.06</v>
      </c>
      <c r="D19" s="18">
        <v>-1.8000000000000001E-4</v>
      </c>
      <c r="E19" s="56">
        <f t="shared" si="0"/>
        <v>-331.06018</v>
      </c>
      <c r="F19" t="str">
        <f>wyniki!$A$21</f>
        <v>SP4 Pruszków</v>
      </c>
      <c r="G19" s="56">
        <f t="shared" si="1"/>
        <v>-331.06</v>
      </c>
      <c r="J19" s="79" t="str">
        <f t="shared" si="2"/>
        <v>Lipiński Cyprian</v>
      </c>
      <c r="K19" s="61">
        <f>-LARGE($E$2:$E$241,18)</f>
        <v>326.44015999999999</v>
      </c>
      <c r="L19" s="59">
        <f t="shared" si="4"/>
        <v>16</v>
      </c>
      <c r="M19" s="90" t="str">
        <f t="shared" si="3"/>
        <v>SP4 Pruszków</v>
      </c>
      <c r="N19" s="37">
        <v>18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2:31" ht="17.25" thickTop="1" thickBot="1">
      <c r="B20" t="str">
        <f>wyniki!B29</f>
        <v>Banaszczyk Dawid</v>
      </c>
      <c r="C20" s="56">
        <f>wyniki!K29</f>
        <v>354.32</v>
      </c>
      <c r="D20" s="18">
        <v>-1.9000000000000001E-4</v>
      </c>
      <c r="E20" s="56">
        <f t="shared" si="0"/>
        <v>-354.32018999999997</v>
      </c>
      <c r="F20" t="str">
        <f>wyniki!$A$28</f>
        <v>SP2 Szydłowiec</v>
      </c>
      <c r="G20" s="56">
        <f t="shared" si="1"/>
        <v>-354.32</v>
      </c>
      <c r="J20" s="79" t="str">
        <f t="shared" si="2"/>
        <v>Wójcicki Maciej</v>
      </c>
      <c r="K20" s="61">
        <f>-LARGE($E$2:$E$241,19)</f>
        <v>326.97048000000001</v>
      </c>
      <c r="L20" s="59">
        <f t="shared" si="4"/>
        <v>48</v>
      </c>
      <c r="M20" s="90" t="str">
        <f t="shared" si="3"/>
        <v>SP Zielonki Parcela</v>
      </c>
      <c r="N20" s="37">
        <v>19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</row>
    <row r="21" spans="2:31" ht="17.25" thickTop="1" thickBot="1">
      <c r="B21" t="str">
        <f>wyniki!B30</f>
        <v>Kroguec Antoni</v>
      </c>
      <c r="C21" s="56">
        <f>wyniki!K30</f>
        <v>350.73</v>
      </c>
      <c r="D21" s="18">
        <v>-2.0000000000000001E-4</v>
      </c>
      <c r="E21" s="56">
        <f t="shared" si="0"/>
        <v>-350.73020000000002</v>
      </c>
      <c r="F21" t="str">
        <f>wyniki!$A$28</f>
        <v>SP2 Szydłowiec</v>
      </c>
      <c r="G21" s="56">
        <f t="shared" si="1"/>
        <v>-350.73</v>
      </c>
      <c r="J21" s="79" t="str">
        <f t="shared" si="2"/>
        <v>Sienkiewicz Marcin</v>
      </c>
      <c r="K21" s="61">
        <f>-LARGE($E$2:$E$241,20)</f>
        <v>328.75065000000001</v>
      </c>
      <c r="L21" s="59">
        <f t="shared" si="4"/>
        <v>65</v>
      </c>
      <c r="M21" s="90" t="str">
        <f t="shared" si="3"/>
        <v>SP2 Zielonka</v>
      </c>
      <c r="N21" s="37">
        <v>20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2:31" ht="17.25" thickTop="1" thickBot="1">
      <c r="B22" t="str">
        <f>wyniki!B31</f>
        <v>May Franciszek</v>
      </c>
      <c r="C22" s="56">
        <f>wyniki!K31</f>
        <v>404.05</v>
      </c>
      <c r="D22" s="18">
        <v>-2.1000000000000001E-4</v>
      </c>
      <c r="E22" s="56">
        <f t="shared" si="0"/>
        <v>-404.05020999999999</v>
      </c>
      <c r="F22" t="str">
        <f>wyniki!$A$28</f>
        <v>SP2 Szydłowiec</v>
      </c>
      <c r="G22" s="56">
        <f t="shared" si="1"/>
        <v>-404.05</v>
      </c>
      <c r="J22" s="79" t="str">
        <f t="shared" si="2"/>
        <v>Baran Wiktor</v>
      </c>
      <c r="K22" s="61">
        <f>-LARGE($E$2:$E$241,21)</f>
        <v>329.98031000000003</v>
      </c>
      <c r="L22" s="59">
        <f t="shared" si="4"/>
        <v>31</v>
      </c>
      <c r="M22" s="90" t="str">
        <f t="shared" si="3"/>
        <v>SP1 Ostrów Maz</v>
      </c>
      <c r="N22" s="37">
        <v>21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2:31" ht="17.25" thickTop="1" thickBot="1">
      <c r="B23" t="str">
        <f>wyniki!B32</f>
        <v>Pawlak Kacper</v>
      </c>
      <c r="C23" s="56">
        <f>wyniki!K32</f>
        <v>344.94</v>
      </c>
      <c r="D23" s="18">
        <v>-2.2000000000000001E-4</v>
      </c>
      <c r="E23" s="56">
        <f t="shared" si="0"/>
        <v>-344.94022000000001</v>
      </c>
      <c r="F23" t="str">
        <f>wyniki!$A$28</f>
        <v>SP2 Szydłowiec</v>
      </c>
      <c r="G23" s="56">
        <f t="shared" si="1"/>
        <v>-344.94</v>
      </c>
      <c r="J23" s="79" t="str">
        <f t="shared" si="2"/>
        <v>Terlikowski Ignacy</v>
      </c>
      <c r="K23" s="61">
        <f>-LARGE($E$2:$E$241,22)</f>
        <v>330.20029999999997</v>
      </c>
      <c r="L23" s="59">
        <f t="shared" si="4"/>
        <v>30</v>
      </c>
      <c r="M23" s="90" t="str">
        <f t="shared" si="3"/>
        <v>SP9 Siedlce</v>
      </c>
      <c r="N23" s="37">
        <v>22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2:31" ht="17.25" thickTop="1" thickBot="1">
      <c r="B24" t="str">
        <f>wyniki!B33</f>
        <v>Sala Szymon</v>
      </c>
      <c r="C24" s="56">
        <f>wyniki!K33</f>
        <v>358.63</v>
      </c>
      <c r="D24" s="18">
        <v>-2.3000000000000001E-4</v>
      </c>
      <c r="E24" s="56">
        <f t="shared" si="0"/>
        <v>-358.63022999999998</v>
      </c>
      <c r="F24" t="str">
        <f>wyniki!$A$28</f>
        <v>SP2 Szydłowiec</v>
      </c>
      <c r="G24" s="56">
        <f t="shared" si="1"/>
        <v>-358.63</v>
      </c>
      <c r="J24" s="79" t="str">
        <f t="shared" si="2"/>
        <v>Zień Paweł</v>
      </c>
      <c r="K24" s="61">
        <f>-LARGE($E$2:$E$241,23)</f>
        <v>331.06018</v>
      </c>
      <c r="L24" s="59">
        <f t="shared" si="4"/>
        <v>18</v>
      </c>
      <c r="M24" s="90" t="str">
        <f t="shared" si="3"/>
        <v>SP4 Pruszków</v>
      </c>
      <c r="N24" s="37">
        <v>23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2:31" ht="17.25" thickTop="1" thickBot="1">
      <c r="B25" t="str">
        <f>wyniki!B34</f>
        <v>Walasik Kacper</v>
      </c>
      <c r="C25" s="56">
        <f>wyniki!K34</f>
        <v>341.46</v>
      </c>
      <c r="D25" s="18">
        <v>-2.4000000000000001E-4</v>
      </c>
      <c r="E25" s="56">
        <f t="shared" si="0"/>
        <v>-341.46024</v>
      </c>
      <c r="F25" t="str">
        <f>wyniki!$A$28</f>
        <v>SP2 Szydłowiec</v>
      </c>
      <c r="G25" s="56">
        <f t="shared" si="1"/>
        <v>-341.46</v>
      </c>
      <c r="J25" s="79" t="str">
        <f t="shared" si="2"/>
        <v>Zawadzki Szymon</v>
      </c>
      <c r="K25" s="61">
        <f>-LARGE($E$2:$E$241,24)</f>
        <v>331.89040999999997</v>
      </c>
      <c r="L25" s="59">
        <f t="shared" si="4"/>
        <v>41</v>
      </c>
      <c r="M25" s="90" t="str">
        <f t="shared" si="3"/>
        <v>SP204 Warszawa</v>
      </c>
      <c r="N25" s="37">
        <v>24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2:31" ht="17.25" thickTop="1" thickBot="1">
      <c r="B26" t="str">
        <f>wyniki!B36</f>
        <v>Dąbrowski Bartosz</v>
      </c>
      <c r="C26" s="56">
        <f>wyniki!K36</f>
        <v>324.18</v>
      </c>
      <c r="D26" s="18">
        <v>-2.5000000000000001E-4</v>
      </c>
      <c r="E26" s="56">
        <f t="shared" si="0"/>
        <v>-324.18025</v>
      </c>
      <c r="F26" t="str">
        <f>wyniki!$A$35</f>
        <v>SP9 Siedlce</v>
      </c>
      <c r="G26" s="56">
        <f t="shared" si="1"/>
        <v>-324.18</v>
      </c>
      <c r="J26" s="79" t="str">
        <f t="shared" si="2"/>
        <v>Cendrowski Kacper</v>
      </c>
      <c r="K26" s="61">
        <f>-LARGE($E$2:$E$241,25)</f>
        <v>332.37067000000002</v>
      </c>
      <c r="L26" s="59">
        <f t="shared" si="4"/>
        <v>67</v>
      </c>
      <c r="M26" s="90" t="str">
        <f t="shared" si="3"/>
        <v>SP2 Mława</v>
      </c>
      <c r="N26" s="37">
        <v>25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2:31" ht="17.25" thickTop="1" thickBot="1">
      <c r="B27" t="str">
        <f>wyniki!B37</f>
        <v>Kamiński Mateusz</v>
      </c>
      <c r="C27" s="56">
        <f>wyniki!K37</f>
        <v>348.58</v>
      </c>
      <c r="D27" s="18">
        <v>-2.5999999999999998E-4</v>
      </c>
      <c r="E27" s="56">
        <f t="shared" si="0"/>
        <v>-348.58026000000001</v>
      </c>
      <c r="F27" t="str">
        <f>wyniki!$A$35</f>
        <v>SP9 Siedlce</v>
      </c>
      <c r="G27" s="56">
        <f t="shared" si="1"/>
        <v>-348.58</v>
      </c>
      <c r="J27" s="79" t="str">
        <f t="shared" si="2"/>
        <v>Zaniemcha Nikodem</v>
      </c>
      <c r="K27" s="61">
        <f>-LARGE($E$2:$E$241,26)</f>
        <v>333.13054</v>
      </c>
      <c r="L27" s="59">
        <f t="shared" si="4"/>
        <v>54</v>
      </c>
      <c r="M27" s="90" t="str">
        <f t="shared" si="3"/>
        <v>SP154 Warszawa</v>
      </c>
      <c r="N27" s="37">
        <v>26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2:31" ht="17.25" thickTop="1" thickBot="1">
      <c r="B28" t="str">
        <f>wyniki!B38</f>
        <v>Krasuski Jakub</v>
      </c>
      <c r="C28" s="56">
        <f>wyniki!K38</f>
        <v>325.95</v>
      </c>
      <c r="D28" s="18">
        <v>-2.7E-4</v>
      </c>
      <c r="E28" s="56">
        <f t="shared" si="0"/>
        <v>-325.95026999999999</v>
      </c>
      <c r="F28" t="str">
        <f>wyniki!$A$35</f>
        <v>SP9 Siedlce</v>
      </c>
      <c r="G28" s="56">
        <f t="shared" si="1"/>
        <v>-325.95</v>
      </c>
      <c r="J28" s="79" t="str">
        <f t="shared" si="2"/>
        <v>Trzos Szymon</v>
      </c>
      <c r="K28" s="61">
        <f>-LARGE($E$2:$E$241,27)</f>
        <v>333.68011000000001</v>
      </c>
      <c r="L28" s="59">
        <f t="shared" si="4"/>
        <v>11</v>
      </c>
      <c r="M28" s="90" t="str">
        <f t="shared" si="3"/>
        <v>PSP24 Radom</v>
      </c>
      <c r="N28" s="37">
        <v>27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2:31" ht="17.25" thickTop="1" thickBot="1">
      <c r="B29" t="str">
        <f>wyniki!B39</f>
        <v>Sajewicz Piotr</v>
      </c>
      <c r="C29" s="56">
        <f>wyniki!K39</f>
        <v>338.26</v>
      </c>
      <c r="D29" s="18">
        <v>-2.7999999999999998E-4</v>
      </c>
      <c r="E29" s="56">
        <f t="shared" si="0"/>
        <v>-338.26027999999997</v>
      </c>
      <c r="F29" t="str">
        <f>wyniki!$A$35</f>
        <v>SP9 Siedlce</v>
      </c>
      <c r="G29" s="56">
        <f t="shared" si="1"/>
        <v>-338.26</v>
      </c>
      <c r="J29" s="79" t="str">
        <f t="shared" si="2"/>
        <v>Dąbrowski Aleksander</v>
      </c>
      <c r="K29" s="61">
        <f>-LARGE($E$2:$E$241,28)</f>
        <v>333.90012999999999</v>
      </c>
      <c r="L29" s="59">
        <f t="shared" si="4"/>
        <v>13</v>
      </c>
      <c r="M29" s="90" t="str">
        <f t="shared" si="3"/>
        <v>SP4 Pruszków</v>
      </c>
      <c r="N29" s="37">
        <v>28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2:31" ht="17.25" thickTop="1" thickBot="1">
      <c r="B30" t="str">
        <f>wyniki!B40</f>
        <v>Sypiański Szymon</v>
      </c>
      <c r="C30" s="56">
        <f>wyniki!K40</f>
        <v>318.08999999999997</v>
      </c>
      <c r="D30" s="18">
        <v>-2.9E-4</v>
      </c>
      <c r="E30" s="56">
        <f t="shared" si="0"/>
        <v>-318.09028999999998</v>
      </c>
      <c r="F30" t="str">
        <f>wyniki!$A$35</f>
        <v>SP9 Siedlce</v>
      </c>
      <c r="G30" s="56">
        <f t="shared" si="1"/>
        <v>-318.08999999999997</v>
      </c>
      <c r="J30" s="79" t="str">
        <f t="shared" si="2"/>
        <v>Jędrzejewski Kamil</v>
      </c>
      <c r="K30" s="61">
        <f>-LARGE($E$2:$E$241,29)</f>
        <v>334.75069000000002</v>
      </c>
      <c r="L30" s="59">
        <f t="shared" si="4"/>
        <v>69</v>
      </c>
      <c r="M30" s="90" t="str">
        <f t="shared" si="3"/>
        <v>SP2 Mława</v>
      </c>
      <c r="N30" s="37">
        <v>29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2:31" ht="17.25" thickTop="1" thickBot="1">
      <c r="B31" t="str">
        <f>wyniki!B41</f>
        <v>Terlikowski Ignacy</v>
      </c>
      <c r="C31" s="56">
        <f>wyniki!K41</f>
        <v>330.2</v>
      </c>
      <c r="D31" s="18">
        <v>-2.9999999999999997E-4</v>
      </c>
      <c r="E31" s="56">
        <f t="shared" si="0"/>
        <v>-330.20029999999997</v>
      </c>
      <c r="F31" t="str">
        <f>wyniki!$A$35</f>
        <v>SP9 Siedlce</v>
      </c>
      <c r="G31" s="56">
        <f t="shared" si="1"/>
        <v>-330.2</v>
      </c>
      <c r="J31" s="79" t="str">
        <f t="shared" si="2"/>
        <v>Redes Maciej</v>
      </c>
      <c r="K31" s="61">
        <f>-LARGE($E$2:$E$241,30)</f>
        <v>335.84003999999999</v>
      </c>
      <c r="L31" s="59">
        <f t="shared" si="4"/>
        <v>4</v>
      </c>
      <c r="M31" s="90" t="str">
        <f t="shared" si="3"/>
        <v>SP8 Siedlce</v>
      </c>
      <c r="N31" s="37">
        <v>30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2:31" ht="17.25" thickTop="1" thickBot="1">
      <c r="B32" t="str">
        <f>wyniki!B43</f>
        <v>Baran Wiktor</v>
      </c>
      <c r="C32" s="56">
        <f>wyniki!K43</f>
        <v>329.98</v>
      </c>
      <c r="D32" s="18">
        <v>-3.1E-4</v>
      </c>
      <c r="E32" s="56">
        <f t="shared" si="0"/>
        <v>-329.98031000000003</v>
      </c>
      <c r="F32" t="str">
        <f>wyniki!$A$42</f>
        <v>SP1 Ostrów Maz</v>
      </c>
      <c r="G32" s="56">
        <f t="shared" si="1"/>
        <v>-329.98</v>
      </c>
      <c r="J32" s="79" t="str">
        <f t="shared" si="2"/>
        <v>Leszczyński Kacper</v>
      </c>
      <c r="K32" s="61">
        <f>-LARGE($E$2:$E$241,31)</f>
        <v>335.99074000000002</v>
      </c>
      <c r="L32" s="59">
        <f t="shared" si="4"/>
        <v>74</v>
      </c>
      <c r="M32" s="90" t="str">
        <f t="shared" si="3"/>
        <v>SP18 Płock</v>
      </c>
      <c r="N32" s="37">
        <v>31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spans="2:31" ht="17.25" thickTop="1" thickBot="1">
      <c r="B33" t="str">
        <f>wyniki!B44</f>
        <v>Kaczerski Kuba</v>
      </c>
      <c r="C33" s="56">
        <f>wyniki!K44</f>
        <v>517.65</v>
      </c>
      <c r="D33" s="18">
        <v>-3.2000000000000003E-4</v>
      </c>
      <c r="E33" s="56">
        <f t="shared" si="0"/>
        <v>-517.65031999999997</v>
      </c>
      <c r="F33" t="str">
        <f>wyniki!$A$42</f>
        <v>SP1 Ostrów Maz</v>
      </c>
      <c r="G33" s="56">
        <f t="shared" si="1"/>
        <v>-517.65</v>
      </c>
      <c r="J33" s="79" t="str">
        <f t="shared" si="2"/>
        <v>Starzak Brajan</v>
      </c>
      <c r="K33" s="61">
        <f>-LARGE($E$2:$E$241,32)</f>
        <v>336.88069999999999</v>
      </c>
      <c r="L33" s="59">
        <f t="shared" si="4"/>
        <v>70</v>
      </c>
      <c r="M33" s="90" t="str">
        <f t="shared" si="3"/>
        <v>SP2 Mława</v>
      </c>
      <c r="N33" s="37">
        <v>32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2:31" ht="17.25" thickTop="1" thickBot="1">
      <c r="B34" t="str">
        <f>wyniki!B45</f>
        <v>Malec Alan</v>
      </c>
      <c r="C34" s="56">
        <f>wyniki!K45</f>
        <v>342.09</v>
      </c>
      <c r="D34" s="18">
        <v>-3.3E-4</v>
      </c>
      <c r="E34" s="56">
        <f t="shared" si="0"/>
        <v>-342.09032999999999</v>
      </c>
      <c r="F34" t="str">
        <f>wyniki!$A$42</f>
        <v>SP1 Ostrów Maz</v>
      </c>
      <c r="G34" s="56">
        <f t="shared" si="1"/>
        <v>-342.09</v>
      </c>
      <c r="J34" s="79" t="str">
        <f t="shared" si="2"/>
        <v>Dyszkowski Mateusz</v>
      </c>
      <c r="K34" s="61">
        <f>-LARGE($E$2:$E$241,33)</f>
        <v>336.89044000000001</v>
      </c>
      <c r="L34" s="59">
        <f t="shared" si="4"/>
        <v>44</v>
      </c>
      <c r="M34" s="90" t="str">
        <f t="shared" si="3"/>
        <v>SP Zielonki Parcela</v>
      </c>
      <c r="N34" s="37">
        <v>33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2:31" ht="17.25" thickTop="1" thickBot="1">
      <c r="B35" t="str">
        <f>wyniki!B46</f>
        <v>Maliszewski Jan</v>
      </c>
      <c r="C35" s="56">
        <f>wyniki!K46</f>
        <v>325.5</v>
      </c>
      <c r="D35" s="18">
        <v>-3.4000000000000002E-4</v>
      </c>
      <c r="E35" s="56">
        <f t="shared" si="0"/>
        <v>-325.50033999999999</v>
      </c>
      <c r="F35" t="str">
        <f>wyniki!$A$42</f>
        <v>SP1 Ostrów Maz</v>
      </c>
      <c r="G35" s="56">
        <f t="shared" si="1"/>
        <v>-325.5</v>
      </c>
      <c r="J35" s="79" t="str">
        <f t="shared" si="2"/>
        <v>Kwiatkowski Julian</v>
      </c>
      <c r="K35" s="61">
        <f>-LARGE($E$2:$E$241,34)</f>
        <v>337.74015000000003</v>
      </c>
      <c r="L35" s="59">
        <f t="shared" si="4"/>
        <v>15</v>
      </c>
      <c r="M35" s="90" t="str">
        <f t="shared" si="3"/>
        <v>SP4 Pruszków</v>
      </c>
      <c r="N35" s="37">
        <v>34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2:31" ht="17.25" thickTop="1" thickBot="1">
      <c r="B36" t="str">
        <f>wyniki!B47</f>
        <v>Maliszewski Michał</v>
      </c>
      <c r="C36" s="56">
        <f>wyniki!K47</f>
        <v>323.08999999999997</v>
      </c>
      <c r="D36" s="18">
        <v>-3.5E-4</v>
      </c>
      <c r="E36" s="56">
        <f t="shared" si="0"/>
        <v>-323.09035</v>
      </c>
      <c r="F36" t="str">
        <f>wyniki!$A$42</f>
        <v>SP1 Ostrów Maz</v>
      </c>
      <c r="G36" s="56">
        <f t="shared" si="1"/>
        <v>-323.08999999999997</v>
      </c>
      <c r="J36" s="79" t="str">
        <f t="shared" si="2"/>
        <v>Dąbrowski Mateusz</v>
      </c>
      <c r="K36" s="61">
        <f>-LARGE($E$2:$E$241,35)</f>
        <v>337.82000999999997</v>
      </c>
      <c r="L36" s="59">
        <f t="shared" si="4"/>
        <v>1</v>
      </c>
      <c r="M36" s="90" t="str">
        <f t="shared" si="3"/>
        <v>SP8 Siedlce</v>
      </c>
      <c r="N36" s="37">
        <v>35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2:31" ht="17.25" thickTop="1" thickBot="1">
      <c r="B37" t="str">
        <f>wyniki!B48</f>
        <v>Równy Krystian</v>
      </c>
      <c r="C37" s="56">
        <f>wyniki!K48</f>
        <v>313.70999999999998</v>
      </c>
      <c r="D37" s="18">
        <v>-3.6000000000000002E-4</v>
      </c>
      <c r="E37" s="56">
        <f t="shared" si="0"/>
        <v>-313.71035999999998</v>
      </c>
      <c r="F37" t="str">
        <f>wyniki!$A$42</f>
        <v>SP1 Ostrów Maz</v>
      </c>
      <c r="G37" s="56">
        <f t="shared" si="1"/>
        <v>-313.70999999999998</v>
      </c>
      <c r="J37" s="79" t="str">
        <f t="shared" si="2"/>
        <v>Tuczyński Aleksander</v>
      </c>
      <c r="K37" s="61">
        <f>-LARGE($E$2:$E$241,36)</f>
        <v>338.00040000000001</v>
      </c>
      <c r="L37" s="59">
        <f t="shared" si="4"/>
        <v>40</v>
      </c>
      <c r="M37" s="90" t="str">
        <f t="shared" si="3"/>
        <v>SP204 Warszawa</v>
      </c>
      <c r="N37" s="37">
        <v>36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2:31" ht="17.25" thickTop="1" thickBot="1">
      <c r="B38" t="str">
        <f>wyniki!B50</f>
        <v>Karbowski Aleksander</v>
      </c>
      <c r="C38" s="56">
        <f>wyniki!K50</f>
        <v>323.23</v>
      </c>
      <c r="D38" s="18">
        <v>-3.6999999999999999E-4</v>
      </c>
      <c r="E38" s="56">
        <f t="shared" si="0"/>
        <v>-323.23036999999999</v>
      </c>
      <c r="F38" t="str">
        <f>wyniki!$A$49</f>
        <v>SP204 Warszawa</v>
      </c>
      <c r="G38" s="56">
        <f t="shared" si="1"/>
        <v>-323.23</v>
      </c>
      <c r="J38" s="79" t="str">
        <f t="shared" si="2"/>
        <v>Sajewicz Piotr</v>
      </c>
      <c r="K38" s="61">
        <f>-LARGE($E$2:$E$241,37)</f>
        <v>338.26027999999997</v>
      </c>
      <c r="L38" s="59">
        <f t="shared" si="4"/>
        <v>28</v>
      </c>
      <c r="M38" s="90" t="str">
        <f t="shared" si="3"/>
        <v>SP9 Siedlce</v>
      </c>
      <c r="N38" s="37">
        <v>37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2:31" ht="17.25" thickTop="1" thickBot="1">
      <c r="B39" t="str">
        <f>wyniki!B51</f>
        <v>Mirecki Mateusz</v>
      </c>
      <c r="C39" s="56">
        <f>wyniki!K51</f>
        <v>314.75</v>
      </c>
      <c r="D39" s="18">
        <v>-3.8000000000000002E-4</v>
      </c>
      <c r="E39" s="56">
        <f t="shared" si="0"/>
        <v>-314.75038000000001</v>
      </c>
      <c r="F39" t="str">
        <f>wyniki!$A$49</f>
        <v>SP204 Warszawa</v>
      </c>
      <c r="G39" s="56">
        <f t="shared" si="1"/>
        <v>-314.75</v>
      </c>
      <c r="J39" s="79" t="str">
        <f t="shared" si="2"/>
        <v>Iliński Aleksander</v>
      </c>
      <c r="K39" s="61">
        <f>-LARGE($E$2:$E$241,38)</f>
        <v>340.68002000000001</v>
      </c>
      <c r="L39" s="59">
        <f t="shared" si="4"/>
        <v>2</v>
      </c>
      <c r="M39" s="90" t="str">
        <f t="shared" si="3"/>
        <v>SP8 Siedlce</v>
      </c>
      <c r="N39" s="37">
        <v>38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2:31" ht="17.25" thickTop="1" thickBot="1">
      <c r="B40" t="str">
        <f>wyniki!B52</f>
        <v>Porębski Jakub</v>
      </c>
      <c r="C40" s="56">
        <f>wyniki!K52</f>
        <v>344.95</v>
      </c>
      <c r="D40" s="18">
        <v>-3.8999999999999999E-4</v>
      </c>
      <c r="E40" s="56">
        <f t="shared" si="0"/>
        <v>-344.95038999999997</v>
      </c>
      <c r="F40" t="str">
        <f>wyniki!$A$49</f>
        <v>SP204 Warszawa</v>
      </c>
      <c r="G40" s="56">
        <f t="shared" si="1"/>
        <v>-344.95</v>
      </c>
      <c r="J40" s="79" t="str">
        <f t="shared" si="2"/>
        <v>Walasik Kacper</v>
      </c>
      <c r="K40" s="61">
        <f>-LARGE($E$2:$E$241,39)</f>
        <v>341.46024</v>
      </c>
      <c r="L40" s="59">
        <f t="shared" si="4"/>
        <v>24</v>
      </c>
      <c r="M40" s="90" t="str">
        <f t="shared" si="3"/>
        <v>SP2 Szydłowiec</v>
      </c>
      <c r="N40" s="37">
        <v>39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2:31" ht="17.25" thickTop="1" thickBot="1">
      <c r="B41" t="str">
        <f>wyniki!B53</f>
        <v>Tuczyński Aleksander</v>
      </c>
      <c r="C41" s="56">
        <f>wyniki!K53</f>
        <v>338</v>
      </c>
      <c r="D41" s="18">
        <v>-4.0000000000000002E-4</v>
      </c>
      <c r="E41" s="56">
        <f t="shared" si="0"/>
        <v>-338.00040000000001</v>
      </c>
      <c r="F41" t="str">
        <f>wyniki!$A$49</f>
        <v>SP204 Warszawa</v>
      </c>
      <c r="G41" s="56">
        <f t="shared" si="1"/>
        <v>-338</v>
      </c>
      <c r="J41" s="79" t="str">
        <f t="shared" si="2"/>
        <v>Malec Alan</v>
      </c>
      <c r="K41" s="61">
        <f>-LARGE($E$2:$E$241,40)</f>
        <v>342.09032999999999</v>
      </c>
      <c r="L41" s="59">
        <f t="shared" si="4"/>
        <v>33</v>
      </c>
      <c r="M41" s="90" t="str">
        <f t="shared" si="3"/>
        <v>SP1 Ostrów Maz</v>
      </c>
      <c r="N41" s="37">
        <v>40</v>
      </c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2:31" ht="17.25" thickTop="1" thickBot="1">
      <c r="B42" t="str">
        <f>wyniki!B54</f>
        <v>Zawadzki Szymon</v>
      </c>
      <c r="C42" s="56">
        <f>wyniki!K54</f>
        <v>331.89</v>
      </c>
      <c r="D42" s="18">
        <v>-4.0999999999999999E-4</v>
      </c>
      <c r="E42" s="56">
        <f t="shared" si="0"/>
        <v>-331.89040999999997</v>
      </c>
      <c r="F42" t="str">
        <f>wyniki!$A$49</f>
        <v>SP204 Warszawa</v>
      </c>
      <c r="G42" s="56">
        <f t="shared" si="1"/>
        <v>-331.89</v>
      </c>
      <c r="J42" s="79" t="str">
        <f t="shared" si="2"/>
        <v>Czaplicki Karol</v>
      </c>
      <c r="K42" s="61">
        <f>-LARGE($E$2:$E$241,41)</f>
        <v>342.47071000000005</v>
      </c>
      <c r="L42" s="59">
        <f t="shared" si="4"/>
        <v>71</v>
      </c>
      <c r="M42" s="90" t="str">
        <f t="shared" si="3"/>
        <v>SP2 Mława</v>
      </c>
      <c r="N42" s="37">
        <v>41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2:31" ht="17.25" thickTop="1" thickBot="1">
      <c r="B43" t="str">
        <f>wyniki!B55</f>
        <v>Zieniewicz Franciszek</v>
      </c>
      <c r="C43" s="56">
        <f>wyniki!K55</f>
        <v>319.14</v>
      </c>
      <c r="D43" s="18">
        <v>-4.2000000000000002E-4</v>
      </c>
      <c r="E43" s="56">
        <f t="shared" si="0"/>
        <v>-319.14042000000001</v>
      </c>
      <c r="F43" t="str">
        <f>wyniki!$A$49</f>
        <v>SP204 Warszawa</v>
      </c>
      <c r="G43" s="56">
        <f t="shared" si="1"/>
        <v>-319.14</v>
      </c>
      <c r="J43" s="79" t="str">
        <f t="shared" si="2"/>
        <v>Ługowski Bartosz</v>
      </c>
      <c r="K43" s="61">
        <f>-LARGE($E$2:$E$241,42)</f>
        <v>343.46002999999996</v>
      </c>
      <c r="L43" s="59">
        <f t="shared" si="4"/>
        <v>3</v>
      </c>
      <c r="M43" s="90" t="str">
        <f t="shared" si="3"/>
        <v>SP8 Siedlce</v>
      </c>
      <c r="N43" s="37">
        <v>42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2:31" ht="17.25" thickTop="1" thickBot="1">
      <c r="B44" t="str">
        <f>wyniki!B57</f>
        <v>Cisek Mikołaj</v>
      </c>
      <c r="C44" s="56">
        <f>wyniki!K57</f>
        <v>403.98</v>
      </c>
      <c r="D44" s="18">
        <v>-4.2999999999999999E-4</v>
      </c>
      <c r="E44" s="56">
        <f t="shared" si="0"/>
        <v>-403.98043000000001</v>
      </c>
      <c r="F44" t="str">
        <f>wyniki!$A$56</f>
        <v>SP Zielonki Parcela</v>
      </c>
      <c r="G44" s="56">
        <f t="shared" si="1"/>
        <v>-403.98</v>
      </c>
      <c r="J44" s="79" t="str">
        <f t="shared" si="2"/>
        <v>Nowak Aleksander</v>
      </c>
      <c r="K44" s="61">
        <f>-LARGE($E$2:$E$241,43)</f>
        <v>343.51009999999997</v>
      </c>
      <c r="L44" s="59">
        <f t="shared" si="4"/>
        <v>10</v>
      </c>
      <c r="M44" s="90" t="str">
        <f t="shared" si="3"/>
        <v>PSP24 Radom</v>
      </c>
      <c r="N44" s="37">
        <v>43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2:31" ht="17.25" thickTop="1" thickBot="1">
      <c r="B45" t="str">
        <f>wyniki!B58</f>
        <v>Dyszkowski Mateusz</v>
      </c>
      <c r="C45" s="56">
        <f>wyniki!K58</f>
        <v>336.89</v>
      </c>
      <c r="D45" s="18">
        <v>-4.4000000000000002E-4</v>
      </c>
      <c r="E45" s="56">
        <f t="shared" si="0"/>
        <v>-336.89044000000001</v>
      </c>
      <c r="F45" t="str">
        <f>wyniki!$A$56</f>
        <v>SP Zielonki Parcela</v>
      </c>
      <c r="G45" s="56">
        <f t="shared" si="1"/>
        <v>-336.89</v>
      </c>
      <c r="J45" s="79" t="str">
        <f t="shared" si="2"/>
        <v>Staszkiewicz Michał</v>
      </c>
      <c r="K45" s="61">
        <f>-LARGE($E$2:$E$241,44)</f>
        <v>344.04052000000001</v>
      </c>
      <c r="L45" s="59">
        <f t="shared" si="4"/>
        <v>52</v>
      </c>
      <c r="M45" s="90" t="str">
        <f t="shared" si="3"/>
        <v>SP154 Warszawa</v>
      </c>
      <c r="N45" s="37">
        <v>44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2:31" ht="17.25" thickTop="1" thickBot="1">
      <c r="B46" t="str">
        <f>wyniki!B59</f>
        <v>Kowalski Tymoteusz</v>
      </c>
      <c r="C46" s="56">
        <f>wyniki!K59</f>
        <v>358.03</v>
      </c>
      <c r="D46" s="18">
        <v>-4.4999999999999999E-4</v>
      </c>
      <c r="E46" s="56">
        <f t="shared" si="0"/>
        <v>-358.03044999999997</v>
      </c>
      <c r="F46" t="str">
        <f>wyniki!$A$56</f>
        <v>SP Zielonki Parcela</v>
      </c>
      <c r="G46" s="56">
        <f t="shared" si="1"/>
        <v>-358.03</v>
      </c>
      <c r="J46" s="79" t="str">
        <f t="shared" si="2"/>
        <v>Pawlak Kacper</v>
      </c>
      <c r="K46" s="61">
        <f>-LARGE($E$2:$E$241,45)</f>
        <v>344.94022000000001</v>
      </c>
      <c r="L46" s="59">
        <f t="shared" si="4"/>
        <v>22</v>
      </c>
      <c r="M46" s="90" t="str">
        <f t="shared" si="3"/>
        <v>SP2 Szydłowiec</v>
      </c>
      <c r="N46" s="37">
        <v>45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2:31" ht="17.25" thickTop="1" thickBot="1">
      <c r="B47" t="str">
        <f>wyniki!B60</f>
        <v>Sołomski Oliwier</v>
      </c>
      <c r="C47" s="56">
        <f>wyniki!K60</f>
        <v>346.38</v>
      </c>
      <c r="D47" s="18">
        <v>-4.6000000000000001E-4</v>
      </c>
      <c r="E47" s="56">
        <f t="shared" si="0"/>
        <v>-346.38045999999997</v>
      </c>
      <c r="F47" t="str">
        <f>wyniki!$A$56</f>
        <v>SP Zielonki Parcela</v>
      </c>
      <c r="G47" s="56">
        <f t="shared" si="1"/>
        <v>-346.38</v>
      </c>
      <c r="J47" s="79" t="str">
        <f t="shared" si="2"/>
        <v>Porębski Jakub</v>
      </c>
      <c r="K47" s="61">
        <f>-LARGE($E$2:$E$241,46)</f>
        <v>344.95038999999997</v>
      </c>
      <c r="L47" s="59">
        <f t="shared" si="4"/>
        <v>39</v>
      </c>
      <c r="M47" s="90" t="str">
        <f t="shared" si="3"/>
        <v>SP204 Warszawa</v>
      </c>
      <c r="N47" s="37">
        <v>46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2:31" ht="17.25" thickTop="1" thickBot="1">
      <c r="B48" t="str">
        <f>wyniki!B61</f>
        <v>Stepień Wojciech</v>
      </c>
      <c r="C48" s="56">
        <f>wyniki!K61</f>
        <v>403.76</v>
      </c>
      <c r="D48" s="18">
        <v>-4.6999999999999999E-4</v>
      </c>
      <c r="E48" s="56">
        <f t="shared" si="0"/>
        <v>-403.76047</v>
      </c>
      <c r="F48" t="str">
        <f>wyniki!$A$56</f>
        <v>SP Zielonki Parcela</v>
      </c>
      <c r="G48" s="56">
        <f t="shared" si="1"/>
        <v>-403.76</v>
      </c>
      <c r="J48" s="79" t="str">
        <f t="shared" si="2"/>
        <v>Domżalski Szymon</v>
      </c>
      <c r="K48" s="61">
        <f>-LARGE($E$2:$E$241,47)</f>
        <v>345.01067999999998</v>
      </c>
      <c r="L48" s="59">
        <f t="shared" si="4"/>
        <v>68</v>
      </c>
      <c r="M48" s="90" t="str">
        <f t="shared" si="3"/>
        <v>SP2 Mława</v>
      </c>
      <c r="N48" s="37">
        <v>47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2:31" ht="17.25" thickTop="1" thickBot="1">
      <c r="B49" t="str">
        <f>wyniki!B62</f>
        <v>Wójcicki Maciej</v>
      </c>
      <c r="C49" s="56">
        <f>wyniki!K62</f>
        <v>326.97000000000003</v>
      </c>
      <c r="D49" s="18">
        <v>-4.8000000000000001E-4</v>
      </c>
      <c r="E49" s="56">
        <f t="shared" si="0"/>
        <v>-326.97048000000001</v>
      </c>
      <c r="F49" t="str">
        <f>wyniki!$A$56</f>
        <v>SP Zielonki Parcela</v>
      </c>
      <c r="G49" s="56">
        <f t="shared" si="1"/>
        <v>-326.97000000000003</v>
      </c>
      <c r="J49" s="79" t="str">
        <f t="shared" si="2"/>
        <v>Bonalski Maciej</v>
      </c>
      <c r="K49" s="61">
        <f>-LARGE($E$2:$E$241,48)</f>
        <v>345.30056999999999</v>
      </c>
      <c r="L49" s="59">
        <f t="shared" si="4"/>
        <v>57</v>
      </c>
      <c r="M49" s="90" t="str">
        <f t="shared" si="3"/>
        <v xml:space="preserve">SP Jednorożec </v>
      </c>
      <c r="N49" s="37">
        <v>48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2:31" ht="17.25" thickTop="1" thickBot="1">
      <c r="B50" t="str">
        <f>wyniki!B64</f>
        <v>Bryczyński Maksymilian</v>
      </c>
      <c r="C50" s="56">
        <f>wyniki!K64</f>
        <v>351.6</v>
      </c>
      <c r="D50" s="18">
        <v>-4.8999999999999998E-4</v>
      </c>
      <c r="E50" s="56">
        <f t="shared" si="0"/>
        <v>-351.60049000000004</v>
      </c>
      <c r="F50" t="str">
        <f>wyniki!$A$63</f>
        <v>SP154 Warszawa</v>
      </c>
      <c r="G50" s="56">
        <f t="shared" si="1"/>
        <v>-351.6</v>
      </c>
      <c r="J50" s="79" t="str">
        <f t="shared" si="2"/>
        <v>Sołomski Oliwier</v>
      </c>
      <c r="K50" s="61">
        <f>-LARGE($E$2:$E$241,49)</f>
        <v>346.38045999999997</v>
      </c>
      <c r="L50" s="59">
        <f t="shared" si="4"/>
        <v>46</v>
      </c>
      <c r="M50" s="90" t="str">
        <f t="shared" si="3"/>
        <v>SP Zielonki Parcela</v>
      </c>
      <c r="N50" s="37">
        <v>49</v>
      </c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</row>
    <row r="51" spans="2:31" ht="17.25" thickTop="1" thickBot="1">
      <c r="B51" t="str">
        <f>wyniki!B65</f>
        <v>Dąbrowski Franciszek</v>
      </c>
      <c r="C51" s="56">
        <f>wyniki!K65</f>
        <v>320.62</v>
      </c>
      <c r="D51" s="18">
        <v>-5.0000000000000001E-4</v>
      </c>
      <c r="E51" s="56">
        <f t="shared" si="0"/>
        <v>-320.62049999999999</v>
      </c>
      <c r="F51" t="str">
        <f>wyniki!$A$63</f>
        <v>SP154 Warszawa</v>
      </c>
      <c r="G51" s="56">
        <f t="shared" si="1"/>
        <v>-320.62</v>
      </c>
      <c r="J51" s="79" t="str">
        <f t="shared" si="2"/>
        <v>Urbaniak Igor</v>
      </c>
      <c r="K51" s="61">
        <f>-LARGE($E$2:$E$241,50)</f>
        <v>346.47060000000005</v>
      </c>
      <c r="L51" s="59">
        <f t="shared" si="4"/>
        <v>60</v>
      </c>
      <c r="M51" s="90" t="str">
        <f t="shared" si="3"/>
        <v xml:space="preserve">SP Jednorożec </v>
      </c>
      <c r="N51" s="37">
        <v>50</v>
      </c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</row>
    <row r="52" spans="2:31" ht="17.25" thickTop="1" thickBot="1">
      <c r="B52" t="str">
        <f>wyniki!B66</f>
        <v>Kałęcki Bartosz</v>
      </c>
      <c r="C52" s="56">
        <f>wyniki!K66</f>
        <v>307.52999999999997</v>
      </c>
      <c r="D52" s="18">
        <v>-5.1000000000000004E-4</v>
      </c>
      <c r="E52" s="56">
        <f t="shared" si="0"/>
        <v>-307.53050999999999</v>
      </c>
      <c r="F52" t="str">
        <f>wyniki!$A$63</f>
        <v>SP154 Warszawa</v>
      </c>
      <c r="G52" s="56">
        <f t="shared" si="1"/>
        <v>-307.52999999999997</v>
      </c>
      <c r="J52" s="79" t="str">
        <f t="shared" si="2"/>
        <v>Olichwiruk Piotr</v>
      </c>
      <c r="K52" s="61">
        <f>-LARGE($E$2:$E$241,51)</f>
        <v>346.82076999999998</v>
      </c>
      <c r="L52" s="59">
        <f t="shared" si="4"/>
        <v>77</v>
      </c>
      <c r="M52" s="90" t="str">
        <f t="shared" si="3"/>
        <v>SP18 Płock</v>
      </c>
      <c r="N52" s="37">
        <v>51</v>
      </c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2:31" ht="17.25" thickTop="1" thickBot="1">
      <c r="B53" t="str">
        <f>wyniki!B67</f>
        <v>Staszkiewicz Michał</v>
      </c>
      <c r="C53" s="56">
        <f>wyniki!K67</f>
        <v>344.04</v>
      </c>
      <c r="D53" s="18">
        <v>-5.1999999999999995E-4</v>
      </c>
      <c r="E53" s="56">
        <f t="shared" si="0"/>
        <v>-344.04052000000001</v>
      </c>
      <c r="F53" t="str">
        <f>wyniki!$A$63</f>
        <v>SP154 Warszawa</v>
      </c>
      <c r="G53" s="56">
        <f t="shared" si="1"/>
        <v>-344.04</v>
      </c>
      <c r="J53" s="79" t="str">
        <f t="shared" si="2"/>
        <v>Komar Wojciech</v>
      </c>
      <c r="K53" s="61">
        <f>-LARGE($E$2:$E$241,52)</f>
        <v>347.31008000000003</v>
      </c>
      <c r="L53" s="59">
        <f t="shared" si="4"/>
        <v>8</v>
      </c>
      <c r="M53" s="90" t="str">
        <f t="shared" si="3"/>
        <v>PSP24 Radom</v>
      </c>
      <c r="N53" s="37">
        <v>52</v>
      </c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pans="2:31" ht="17.25" thickTop="1" thickBot="1">
      <c r="B54" t="str">
        <f>wyniki!B68</f>
        <v>Tomiczak Jan</v>
      </c>
      <c r="C54" s="56">
        <f>wyniki!K68</f>
        <v>325.19</v>
      </c>
      <c r="D54" s="18">
        <v>-5.2999999999999998E-4</v>
      </c>
      <c r="E54" s="56">
        <f t="shared" si="0"/>
        <v>-325.19053000000002</v>
      </c>
      <c r="F54" t="str">
        <f>wyniki!$A$63</f>
        <v>SP154 Warszawa</v>
      </c>
      <c r="G54" s="56">
        <f t="shared" si="1"/>
        <v>-325.19</v>
      </c>
      <c r="J54" s="79" t="str">
        <f t="shared" si="2"/>
        <v>Lewandowski Bartosz</v>
      </c>
      <c r="K54" s="61">
        <f>-LARGE($E$2:$E$241,53)</f>
        <v>347.81074999999998</v>
      </c>
      <c r="L54" s="59">
        <f t="shared" si="4"/>
        <v>75</v>
      </c>
      <c r="M54" s="90" t="str">
        <f t="shared" si="3"/>
        <v>SP18 Płock</v>
      </c>
      <c r="N54" s="37">
        <v>53</v>
      </c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2:31" ht="17.25" thickTop="1" thickBot="1">
      <c r="B55" t="str">
        <f>wyniki!B69</f>
        <v>Zaniemcha Nikodem</v>
      </c>
      <c r="C55" s="56">
        <f>wyniki!K69</f>
        <v>333.13</v>
      </c>
      <c r="D55" s="18">
        <v>-5.4000000000000001E-4</v>
      </c>
      <c r="E55" s="56">
        <f t="shared" si="0"/>
        <v>-333.13054</v>
      </c>
      <c r="F55" t="str">
        <f>wyniki!$A$63</f>
        <v>SP154 Warszawa</v>
      </c>
      <c r="G55" s="56">
        <f t="shared" si="1"/>
        <v>-333.13</v>
      </c>
      <c r="J55" s="79" t="str">
        <f t="shared" si="2"/>
        <v>Kamiński Mateusz</v>
      </c>
      <c r="K55" s="61">
        <f>-LARGE($E$2:$E$241,54)</f>
        <v>348.58026000000001</v>
      </c>
      <c r="L55" s="59">
        <f t="shared" si="4"/>
        <v>26</v>
      </c>
      <c r="M55" s="90" t="str">
        <f t="shared" si="3"/>
        <v>SP9 Siedlce</v>
      </c>
      <c r="N55" s="37">
        <v>54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2:31" ht="17.25" thickTop="1" thickBot="1">
      <c r="B56" t="str">
        <f>wyniki!B71</f>
        <v>Antosiak Maciej</v>
      </c>
      <c r="C56" s="56">
        <f>wyniki!K71</f>
        <v>419.68</v>
      </c>
      <c r="D56" s="18">
        <v>-5.5000000000000003E-4</v>
      </c>
      <c r="E56" s="56">
        <f t="shared" si="0"/>
        <v>-419.68054999999998</v>
      </c>
      <c r="F56" t="str">
        <f>wyniki!$A$70</f>
        <v xml:space="preserve">SP Jednorożec </v>
      </c>
      <c r="G56" s="56">
        <f t="shared" si="1"/>
        <v>-419.68</v>
      </c>
      <c r="J56" s="79" t="str">
        <f t="shared" si="2"/>
        <v>Pękala Bartłomiej</v>
      </c>
      <c r="K56" s="61">
        <f>-LARGE($E$2:$E$241,55)</f>
        <v>349.90058999999997</v>
      </c>
      <c r="L56" s="59">
        <f t="shared" si="4"/>
        <v>59</v>
      </c>
      <c r="M56" s="90" t="str">
        <f t="shared" si="3"/>
        <v xml:space="preserve">SP Jednorożec </v>
      </c>
      <c r="N56" s="37">
        <v>55</v>
      </c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spans="2:31" ht="17.25" thickTop="1" thickBot="1">
      <c r="B57" t="str">
        <f>wyniki!B72</f>
        <v>Bakuła Dawid</v>
      </c>
      <c r="C57" s="56">
        <f>wyniki!K72</f>
        <v>358.23</v>
      </c>
      <c r="D57" s="18">
        <v>-5.5999999999999995E-4</v>
      </c>
      <c r="E57" s="56">
        <f t="shared" si="0"/>
        <v>-358.23056000000003</v>
      </c>
      <c r="F57" t="str">
        <f>wyniki!$A$70</f>
        <v xml:space="preserve">SP Jednorożec </v>
      </c>
      <c r="G57" s="56">
        <f t="shared" si="1"/>
        <v>-358.23</v>
      </c>
      <c r="J57" s="79" t="str">
        <f t="shared" si="2"/>
        <v>Kochański Adrian</v>
      </c>
      <c r="K57" s="61">
        <f>-LARGE($E$2:$E$241,56)</f>
        <v>350.37063999999998</v>
      </c>
      <c r="L57" s="59">
        <f t="shared" si="4"/>
        <v>64</v>
      </c>
      <c r="M57" s="90" t="str">
        <f t="shared" si="3"/>
        <v>SP2 Zielonka</v>
      </c>
      <c r="N57" s="37">
        <v>56</v>
      </c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2:31" ht="17.25" thickTop="1" thickBot="1">
      <c r="B58" t="str">
        <f>wyniki!B73</f>
        <v>Bonalski Maciej</v>
      </c>
      <c r="C58" s="56">
        <f>wyniki!K73</f>
        <v>345.3</v>
      </c>
      <c r="D58" s="18">
        <v>-5.6999999999999998E-4</v>
      </c>
      <c r="E58" s="56">
        <f t="shared" si="0"/>
        <v>-345.30056999999999</v>
      </c>
      <c r="F58" t="str">
        <f>wyniki!$A$70</f>
        <v xml:space="preserve">SP Jednorożec </v>
      </c>
      <c r="G58" s="56">
        <f t="shared" si="1"/>
        <v>-345.3</v>
      </c>
      <c r="J58" s="79" t="str">
        <f t="shared" si="2"/>
        <v>Kroguec Antoni</v>
      </c>
      <c r="K58" s="61">
        <f>-LARGE($E$2:$E$241,57)</f>
        <v>350.73020000000002</v>
      </c>
      <c r="L58" s="59">
        <f t="shared" si="4"/>
        <v>20</v>
      </c>
      <c r="M58" s="90" t="str">
        <f t="shared" si="3"/>
        <v>SP2 Szydłowiec</v>
      </c>
      <c r="N58" s="37">
        <v>57</v>
      </c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  <row r="59" spans="2:31" ht="17.25" thickTop="1" thickBot="1">
      <c r="B59" t="str">
        <f>wyniki!B74</f>
        <v>Bors Paweł</v>
      </c>
      <c r="C59" s="56">
        <f>wyniki!K74</f>
        <v>407.99</v>
      </c>
      <c r="D59" s="18">
        <v>-5.8E-4</v>
      </c>
      <c r="E59" s="56">
        <f t="shared" si="0"/>
        <v>-407.99058000000002</v>
      </c>
      <c r="F59" t="str">
        <f>wyniki!$A$70</f>
        <v xml:space="preserve">SP Jednorożec </v>
      </c>
      <c r="G59" s="56">
        <f t="shared" si="1"/>
        <v>-407.99</v>
      </c>
      <c r="J59" s="79" t="str">
        <f t="shared" si="2"/>
        <v>Bryczyński Maksymilian</v>
      </c>
      <c r="K59" s="61">
        <f>-LARGE($E$2:$E$241,58)</f>
        <v>351.60049000000004</v>
      </c>
      <c r="L59" s="59">
        <f t="shared" si="4"/>
        <v>49</v>
      </c>
      <c r="M59" s="90" t="str">
        <f t="shared" si="3"/>
        <v>SP154 Warszawa</v>
      </c>
      <c r="N59" s="37">
        <v>58</v>
      </c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2:31" ht="17.25" thickTop="1" thickBot="1">
      <c r="B60" t="str">
        <f>wyniki!B75</f>
        <v>Pękala Bartłomiej</v>
      </c>
      <c r="C60" s="56">
        <f>wyniki!K75</f>
        <v>349.9</v>
      </c>
      <c r="D60" s="18">
        <v>-5.9000000000000003E-4</v>
      </c>
      <c r="E60" s="56">
        <f t="shared" si="0"/>
        <v>-349.90058999999997</v>
      </c>
      <c r="F60" t="str">
        <f>wyniki!$A$70</f>
        <v xml:space="preserve">SP Jednorożec </v>
      </c>
      <c r="G60" s="56">
        <f t="shared" si="1"/>
        <v>-349.9</v>
      </c>
      <c r="J60" s="79" t="str">
        <f t="shared" si="2"/>
        <v>Kołodziej Adam</v>
      </c>
      <c r="K60" s="61">
        <f>-LARGE($E$2:$E$241,59)</f>
        <v>353.36072999999999</v>
      </c>
      <c r="L60" s="59">
        <f t="shared" si="4"/>
        <v>73</v>
      </c>
      <c r="M60" s="90" t="str">
        <f t="shared" si="3"/>
        <v>SP18 Płock</v>
      </c>
      <c r="N60" s="37">
        <v>59</v>
      </c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2:31" ht="17.25" thickTop="1" thickBot="1">
      <c r="B61" t="str">
        <f>wyniki!B76</f>
        <v>Urbaniak Igor</v>
      </c>
      <c r="C61" s="56">
        <f>wyniki!K76</f>
        <v>346.47</v>
      </c>
      <c r="D61" s="18">
        <v>-5.9999999999999995E-4</v>
      </c>
      <c r="E61" s="56">
        <f t="shared" si="0"/>
        <v>-346.47060000000005</v>
      </c>
      <c r="F61" t="str">
        <f>wyniki!$A$70</f>
        <v xml:space="preserve">SP Jednorożec </v>
      </c>
      <c r="G61" s="56">
        <f t="shared" si="1"/>
        <v>-346.47</v>
      </c>
      <c r="J61" s="79" t="str">
        <f t="shared" si="2"/>
        <v>Banaszczyk Dawid</v>
      </c>
      <c r="K61" s="61">
        <f>-LARGE($E$2:$E$241,60)</f>
        <v>354.32018999999997</v>
      </c>
      <c r="L61" s="59">
        <f t="shared" si="4"/>
        <v>19</v>
      </c>
      <c r="M61" s="90" t="str">
        <f t="shared" si="3"/>
        <v>SP2 Szydłowiec</v>
      </c>
      <c r="N61" s="37">
        <v>60</v>
      </c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</row>
    <row r="62" spans="2:31" ht="17.25" thickTop="1" thickBot="1">
      <c r="B62" t="str">
        <f>wyniki!B78</f>
        <v>Balcer Antoni</v>
      </c>
      <c r="C62" s="56">
        <f>wyniki!K78</f>
        <v>302.57</v>
      </c>
      <c r="D62" s="18">
        <v>-6.0999999999999997E-4</v>
      </c>
      <c r="E62" s="56">
        <f t="shared" si="0"/>
        <v>-302.57060999999999</v>
      </c>
      <c r="F62" t="str">
        <f>wyniki!$A$77</f>
        <v>SP2 Zielonka</v>
      </c>
      <c r="G62" s="56">
        <f t="shared" si="1"/>
        <v>-302.57</v>
      </c>
      <c r="J62" s="79" t="str">
        <f t="shared" si="2"/>
        <v>Nitychoruk Maciej</v>
      </c>
      <c r="K62" s="61">
        <f>-LARGE($E$2:$E$241,61)</f>
        <v>355.41006000000004</v>
      </c>
      <c r="L62" s="59">
        <f t="shared" si="4"/>
        <v>6</v>
      </c>
      <c r="M62" s="90" t="str">
        <f t="shared" si="3"/>
        <v>SP8 Siedlce</v>
      </c>
      <c r="N62" s="37">
        <v>61</v>
      </c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2:31" ht="17.25" thickTop="1" thickBot="1">
      <c r="B63" t="str">
        <f>wyniki!B79</f>
        <v>Kobielski Mateusz</v>
      </c>
      <c r="C63" s="56">
        <f>wyniki!K79</f>
        <v>411.31</v>
      </c>
      <c r="D63" s="18">
        <v>-6.2E-4</v>
      </c>
      <c r="E63" s="56">
        <f t="shared" si="0"/>
        <v>-411.31062000000003</v>
      </c>
      <c r="F63" t="str">
        <f>wyniki!$A$77</f>
        <v>SP2 Zielonka</v>
      </c>
      <c r="G63" s="56">
        <f t="shared" si="1"/>
        <v>-411.31</v>
      </c>
      <c r="J63" s="79" t="str">
        <f t="shared" si="2"/>
        <v>Kowalski Tymoteusz</v>
      </c>
      <c r="K63" s="61">
        <f>-LARGE($E$2:$E$241,62)</f>
        <v>358.03044999999997</v>
      </c>
      <c r="L63" s="59">
        <f t="shared" si="4"/>
        <v>45</v>
      </c>
      <c r="M63" s="90" t="str">
        <f t="shared" si="3"/>
        <v>SP Zielonki Parcela</v>
      </c>
      <c r="N63" s="37">
        <v>62</v>
      </c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</row>
    <row r="64" spans="2:31" ht="17.25" thickTop="1" thickBot="1">
      <c r="B64" t="str">
        <f>wyniki!B80</f>
        <v>Ducki Michał</v>
      </c>
      <c r="C64" s="56">
        <f>wyniki!K80</f>
        <v>324.77</v>
      </c>
      <c r="D64" s="18">
        <v>-6.3000000000000003E-4</v>
      </c>
      <c r="E64" s="56">
        <f t="shared" si="0"/>
        <v>-324.77062999999998</v>
      </c>
      <c r="F64" t="str">
        <f>wyniki!$A$77</f>
        <v>SP2 Zielonka</v>
      </c>
      <c r="G64" s="56">
        <f t="shared" si="1"/>
        <v>-324.77</v>
      </c>
      <c r="J64" s="79" t="str">
        <f t="shared" si="2"/>
        <v>Bakuła Dawid</v>
      </c>
      <c r="K64" s="61">
        <f>-LARGE($E$2:$E$241,63)</f>
        <v>358.23056000000003</v>
      </c>
      <c r="L64" s="59">
        <f t="shared" si="4"/>
        <v>56</v>
      </c>
      <c r="M64" s="90" t="str">
        <f t="shared" si="3"/>
        <v xml:space="preserve">SP Jednorożec </v>
      </c>
      <c r="N64" s="37">
        <v>63</v>
      </c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</row>
    <row r="65" spans="2:31" ht="17.25" thickTop="1" thickBot="1">
      <c r="B65" t="str">
        <f>wyniki!B81</f>
        <v>Kochański Adrian</v>
      </c>
      <c r="C65" s="56">
        <f>wyniki!K81</f>
        <v>350.37</v>
      </c>
      <c r="D65" s="18">
        <v>-6.4000000000000005E-4</v>
      </c>
      <c r="E65" s="56">
        <f t="shared" si="0"/>
        <v>-350.37063999999998</v>
      </c>
      <c r="F65" t="str">
        <f>wyniki!$A$77</f>
        <v>SP2 Zielonka</v>
      </c>
      <c r="G65" s="56">
        <f t="shared" si="1"/>
        <v>-350.37</v>
      </c>
      <c r="J65" s="79" t="str">
        <f t="shared" si="2"/>
        <v>Sala Szymon</v>
      </c>
      <c r="K65" s="61">
        <f>-LARGE($E$2:$E$241,64)</f>
        <v>358.63022999999998</v>
      </c>
      <c r="L65" s="59">
        <f t="shared" si="4"/>
        <v>23</v>
      </c>
      <c r="M65" s="90" t="str">
        <f t="shared" si="3"/>
        <v>SP2 Szydłowiec</v>
      </c>
      <c r="N65" s="37">
        <v>64</v>
      </c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</row>
    <row r="66" spans="2:31" ht="17.25" thickTop="1" thickBot="1">
      <c r="B66" t="str">
        <f>wyniki!B82</f>
        <v>Sienkiewicz Marcin</v>
      </c>
      <c r="C66" s="56">
        <f>wyniki!K82</f>
        <v>328.75</v>
      </c>
      <c r="D66" s="18">
        <v>-6.4999999999999997E-4</v>
      </c>
      <c r="E66" s="56">
        <f t="shared" si="0"/>
        <v>-328.75065000000001</v>
      </c>
      <c r="F66" t="str">
        <f>wyniki!$A$77</f>
        <v>SP2 Zielonka</v>
      </c>
      <c r="G66" s="56">
        <f t="shared" si="1"/>
        <v>-328.75</v>
      </c>
      <c r="J66" s="79" t="str">
        <f t="shared" si="2"/>
        <v>Michalski Piotr</v>
      </c>
      <c r="K66" s="61">
        <f>-LARGE($E$2:$E$241,65)</f>
        <v>400.75076000000001</v>
      </c>
      <c r="L66" s="59">
        <f t="shared" si="4"/>
        <v>76</v>
      </c>
      <c r="M66" s="90" t="str">
        <f t="shared" si="3"/>
        <v>SP18 Płock</v>
      </c>
      <c r="N66" s="37">
        <v>65</v>
      </c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2:31" ht="17.25" thickTop="1" thickBot="1">
      <c r="B67" t="str">
        <f>wyniki!B83</f>
        <v>Zwierzchowski Krystian</v>
      </c>
      <c r="C67" s="56">
        <f>wyniki!K83</f>
        <v>412.78</v>
      </c>
      <c r="D67" s="18">
        <v>-6.6E-4</v>
      </c>
      <c r="E67" s="56">
        <f t="shared" ref="E67:E130" si="5">IF(C67&gt;1,G67+D67)</f>
        <v>-412.78065999999995</v>
      </c>
      <c r="F67" t="str">
        <f>wyniki!$A$77</f>
        <v>SP2 Zielonka</v>
      </c>
      <c r="G67" s="56">
        <f t="shared" ref="G67:G130" si="6">-C67</f>
        <v>-412.78</v>
      </c>
      <c r="J67" s="79" t="str">
        <f t="shared" ref="J67:J130" si="7">INDEX($B$2:$E$241,L67,1)</f>
        <v>Stepień Wojciech</v>
      </c>
      <c r="K67" s="61">
        <f>-LARGE($E$2:$E$241,66)</f>
        <v>403.76047</v>
      </c>
      <c r="L67" s="59">
        <f t="shared" si="4"/>
        <v>47</v>
      </c>
      <c r="M67" s="90" t="str">
        <f t="shared" ref="M67:M130" si="8">INDEX($E$2:$F$241,L67,2)</f>
        <v>SP Zielonki Parcela</v>
      </c>
      <c r="N67" s="37">
        <v>66</v>
      </c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</row>
    <row r="68" spans="2:31" ht="17.25" thickTop="1" thickBot="1">
      <c r="B68" t="str">
        <f>wyniki!B85</f>
        <v>Cendrowski Kacper</v>
      </c>
      <c r="C68" s="56">
        <f>wyniki!K85</f>
        <v>332.37</v>
      </c>
      <c r="D68" s="18">
        <v>-6.7000000000000002E-4</v>
      </c>
      <c r="E68" s="56">
        <f t="shared" si="5"/>
        <v>-332.37067000000002</v>
      </c>
      <c r="F68" t="str">
        <f>wyniki!$A$84</f>
        <v>SP2 Mława</v>
      </c>
      <c r="G68" s="56">
        <f t="shared" si="6"/>
        <v>-332.37</v>
      </c>
      <c r="J68" s="79" t="str">
        <f t="shared" si="7"/>
        <v>Cisek Mikołaj</v>
      </c>
      <c r="K68" s="61">
        <f>-LARGE($E$2:$E$241,67)</f>
        <v>403.98043000000001</v>
      </c>
      <c r="L68" s="59">
        <f t="shared" ref="L68:L131" si="9">MATCH(-K68,$E$2:$E$241,0)</f>
        <v>43</v>
      </c>
      <c r="M68" s="90" t="str">
        <f t="shared" si="8"/>
        <v>SP Zielonki Parcela</v>
      </c>
      <c r="N68" s="37">
        <v>67</v>
      </c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spans="2:31" ht="17.25" thickTop="1" thickBot="1">
      <c r="B69" t="str">
        <f>wyniki!B86</f>
        <v>Domżalski Szymon</v>
      </c>
      <c r="C69" s="56">
        <f>wyniki!K86</f>
        <v>345.01</v>
      </c>
      <c r="D69" s="18">
        <v>-6.8000000000000005E-4</v>
      </c>
      <c r="E69" s="56">
        <f t="shared" si="5"/>
        <v>-345.01067999999998</v>
      </c>
      <c r="F69" t="str">
        <f>wyniki!$A$84</f>
        <v>SP2 Mława</v>
      </c>
      <c r="G69" s="56">
        <f t="shared" si="6"/>
        <v>-345.01</v>
      </c>
      <c r="J69" s="79" t="str">
        <f t="shared" si="7"/>
        <v>May Franciszek</v>
      </c>
      <c r="K69" s="61">
        <f>-LARGE($E$2:$E$241,68)</f>
        <v>404.05020999999999</v>
      </c>
      <c r="L69" s="59">
        <f t="shared" si="9"/>
        <v>21</v>
      </c>
      <c r="M69" s="90" t="str">
        <f t="shared" si="8"/>
        <v>SP2 Szydłowiec</v>
      </c>
      <c r="N69" s="37">
        <v>68</v>
      </c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</row>
    <row r="70" spans="2:31" ht="17.25" thickTop="1" thickBot="1">
      <c r="B70" t="str">
        <f>wyniki!B87</f>
        <v>Jędrzejewski Kamil</v>
      </c>
      <c r="C70" s="56">
        <f>wyniki!K87</f>
        <v>334.75</v>
      </c>
      <c r="D70" s="18">
        <v>-6.8999999999999997E-4</v>
      </c>
      <c r="E70" s="56">
        <f t="shared" si="5"/>
        <v>-334.75069000000002</v>
      </c>
      <c r="F70" t="str">
        <f>wyniki!$A$84</f>
        <v>SP2 Mława</v>
      </c>
      <c r="G70" s="56">
        <f t="shared" si="6"/>
        <v>-334.75</v>
      </c>
      <c r="J70" s="79" t="str">
        <f t="shared" si="7"/>
        <v>Bors Paweł</v>
      </c>
      <c r="K70" s="61">
        <f>-LARGE($E$2:$E$241,69)</f>
        <v>407.99058000000002</v>
      </c>
      <c r="L70" s="59">
        <f t="shared" si="9"/>
        <v>58</v>
      </c>
      <c r="M70" s="90" t="str">
        <f t="shared" si="8"/>
        <v xml:space="preserve">SP Jednorożec </v>
      </c>
      <c r="N70" s="37">
        <v>69</v>
      </c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</row>
    <row r="71" spans="2:31" ht="17.25" thickTop="1" thickBot="1">
      <c r="B71" t="str">
        <f>wyniki!B88</f>
        <v>Starzak Brajan</v>
      </c>
      <c r="C71" s="56">
        <f>wyniki!K88</f>
        <v>336.88</v>
      </c>
      <c r="D71" s="18">
        <v>-6.9999999999999999E-4</v>
      </c>
      <c r="E71" s="56">
        <f t="shared" si="5"/>
        <v>-336.88069999999999</v>
      </c>
      <c r="F71" t="str">
        <f>wyniki!$A$84</f>
        <v>SP2 Mława</v>
      </c>
      <c r="G71" s="56">
        <f t="shared" si="6"/>
        <v>-336.88</v>
      </c>
      <c r="J71" s="79" t="str">
        <f t="shared" si="7"/>
        <v>Kobielski Mateusz</v>
      </c>
      <c r="K71" s="61">
        <f>-LARGE($E$2:$E$241,70)</f>
        <v>411.31062000000003</v>
      </c>
      <c r="L71" s="59">
        <f t="shared" si="9"/>
        <v>62</v>
      </c>
      <c r="M71" s="90" t="str">
        <f t="shared" si="8"/>
        <v>SP2 Zielonka</v>
      </c>
      <c r="N71" s="37">
        <v>70</v>
      </c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  <row r="72" spans="2:31" ht="17.25" thickTop="1" thickBot="1">
      <c r="B72" t="str">
        <f>wyniki!B89</f>
        <v>Czaplicki Karol</v>
      </c>
      <c r="C72" s="56">
        <f>wyniki!K89</f>
        <v>342.47</v>
      </c>
      <c r="D72" s="18">
        <v>-7.1000000000000002E-4</v>
      </c>
      <c r="E72" s="56">
        <f t="shared" si="5"/>
        <v>-342.47071000000005</v>
      </c>
      <c r="F72" t="str">
        <f>wyniki!$A$84</f>
        <v>SP2 Mława</v>
      </c>
      <c r="G72" s="56">
        <f t="shared" si="6"/>
        <v>-342.47</v>
      </c>
      <c r="J72" s="79" t="str">
        <f t="shared" si="7"/>
        <v>Zwierzchowski Krystian</v>
      </c>
      <c r="K72" s="61">
        <f>-LARGE($E$2:$E$241,71)</f>
        <v>412.78065999999995</v>
      </c>
      <c r="L72" s="59">
        <f t="shared" si="9"/>
        <v>66</v>
      </c>
      <c r="M72" s="90" t="str">
        <f t="shared" si="8"/>
        <v>SP2 Zielonka</v>
      </c>
      <c r="N72" s="37">
        <v>71</v>
      </c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</row>
    <row r="73" spans="2:31" ht="17.25" thickTop="1" thickBot="1">
      <c r="B73">
        <f>wyniki!B90</f>
        <v>0</v>
      </c>
      <c r="C73" s="56">
        <f>wyniki!K90</f>
        <v>0</v>
      </c>
      <c r="D73" s="18">
        <v>-7.2000000000000005E-4</v>
      </c>
      <c r="E73" s="56" t="b">
        <f t="shared" si="5"/>
        <v>0</v>
      </c>
      <c r="F73" t="str">
        <f>wyniki!$A$84</f>
        <v>SP2 Mława</v>
      </c>
      <c r="G73" s="56">
        <f t="shared" si="6"/>
        <v>0</v>
      </c>
      <c r="J73" s="79" t="str">
        <f t="shared" si="7"/>
        <v>Antosiak Maciej</v>
      </c>
      <c r="K73" s="61">
        <f>-LARGE($E$2:$E$241,72)</f>
        <v>419.68054999999998</v>
      </c>
      <c r="L73" s="59">
        <f t="shared" si="9"/>
        <v>55</v>
      </c>
      <c r="M73" s="90" t="str">
        <f t="shared" si="8"/>
        <v xml:space="preserve">SP Jednorożec </v>
      </c>
      <c r="N73" s="37">
        <v>72</v>
      </c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</row>
    <row r="74" spans="2:31" ht="17.25" thickTop="1" thickBot="1">
      <c r="B74" t="str">
        <f>wyniki!B92</f>
        <v>Kołodziej Adam</v>
      </c>
      <c r="C74" s="56">
        <f>wyniki!K92</f>
        <v>353.36</v>
      </c>
      <c r="D74" s="18">
        <v>-7.2999999999999996E-4</v>
      </c>
      <c r="E74" s="56">
        <f t="shared" si="5"/>
        <v>-353.36072999999999</v>
      </c>
      <c r="F74" t="str">
        <f>wyniki!$A$91</f>
        <v>SP18 Płock</v>
      </c>
      <c r="G74" s="56">
        <f t="shared" si="6"/>
        <v>-353.36</v>
      </c>
      <c r="J74" s="79" t="str">
        <f t="shared" si="7"/>
        <v>Płachecki Sebastian</v>
      </c>
      <c r="K74" s="61">
        <f>-LARGE($E$2:$E$241,73)</f>
        <v>426.50078000000002</v>
      </c>
      <c r="L74" s="59">
        <f t="shared" si="9"/>
        <v>78</v>
      </c>
      <c r="M74" s="90" t="str">
        <f t="shared" si="8"/>
        <v>SP18 Płock</v>
      </c>
      <c r="N74" s="37">
        <v>73</v>
      </c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</row>
    <row r="75" spans="2:31" ht="17.25" thickTop="1" thickBot="1">
      <c r="B75" t="str">
        <f>wyniki!B93</f>
        <v>Leszczyński Kacper</v>
      </c>
      <c r="C75" s="56">
        <f>wyniki!K93</f>
        <v>335.99</v>
      </c>
      <c r="D75" s="18">
        <v>-7.3999999999999999E-4</v>
      </c>
      <c r="E75" s="56">
        <f t="shared" si="5"/>
        <v>-335.99074000000002</v>
      </c>
      <c r="F75" t="str">
        <f>wyniki!$A$91</f>
        <v>SP18 Płock</v>
      </c>
      <c r="G75" s="56">
        <f t="shared" si="6"/>
        <v>-335.99</v>
      </c>
      <c r="J75" s="79" t="str">
        <f t="shared" si="7"/>
        <v>Kaczerski Kuba</v>
      </c>
      <c r="K75" s="61">
        <f>-LARGE($E$2:$E$241,74)</f>
        <v>517.65031999999997</v>
      </c>
      <c r="L75" s="59">
        <f t="shared" si="9"/>
        <v>32</v>
      </c>
      <c r="M75" s="90" t="str">
        <f t="shared" si="8"/>
        <v>SP1 Ostrów Maz</v>
      </c>
      <c r="N75" s="37">
        <v>74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</row>
    <row r="76" spans="2:31" ht="17.25" thickTop="1" thickBot="1">
      <c r="B76" t="str">
        <f>wyniki!B94</f>
        <v>Lewandowski Bartosz</v>
      </c>
      <c r="C76" s="56">
        <f>wyniki!K94</f>
        <v>347.81</v>
      </c>
      <c r="D76" s="18">
        <v>-7.5000000000000002E-4</v>
      </c>
      <c r="E76" s="56">
        <f t="shared" si="5"/>
        <v>-347.81074999999998</v>
      </c>
      <c r="F76" t="str">
        <f>wyniki!$A$91</f>
        <v>SP18 Płock</v>
      </c>
      <c r="G76" s="56">
        <f t="shared" si="6"/>
        <v>-347.81</v>
      </c>
      <c r="J76" s="79" t="e">
        <f t="shared" si="7"/>
        <v>#NUM!</v>
      </c>
      <c r="K76" s="61" t="e">
        <f>-LARGE($E$2:$E$241,75)</f>
        <v>#NUM!</v>
      </c>
      <c r="L76" s="59" t="e">
        <f t="shared" si="9"/>
        <v>#NUM!</v>
      </c>
      <c r="M76" s="90" t="e">
        <f t="shared" si="8"/>
        <v>#NUM!</v>
      </c>
      <c r="N76" s="37">
        <v>75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</row>
    <row r="77" spans="2:31" ht="17.25" thickTop="1" thickBot="1">
      <c r="B77" t="str">
        <f>wyniki!B95</f>
        <v>Michalski Piotr</v>
      </c>
      <c r="C77" s="56">
        <f>wyniki!K95</f>
        <v>400.75</v>
      </c>
      <c r="D77" s="18">
        <v>-7.6000000000000004E-4</v>
      </c>
      <c r="E77" s="56">
        <f t="shared" si="5"/>
        <v>-400.75076000000001</v>
      </c>
      <c r="F77" t="str">
        <f>wyniki!$A$91</f>
        <v>SP18 Płock</v>
      </c>
      <c r="G77" s="56">
        <f t="shared" si="6"/>
        <v>-400.75</v>
      </c>
      <c r="J77" s="79" t="e">
        <f t="shared" si="7"/>
        <v>#NUM!</v>
      </c>
      <c r="K77" s="61" t="e">
        <f>-LARGE($E$2:$E$241,76)</f>
        <v>#NUM!</v>
      </c>
      <c r="L77" s="59" t="e">
        <f t="shared" si="9"/>
        <v>#NUM!</v>
      </c>
      <c r="M77" s="90" t="e">
        <f t="shared" si="8"/>
        <v>#NUM!</v>
      </c>
      <c r="N77" s="37">
        <v>76</v>
      </c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</row>
    <row r="78" spans="2:31" ht="17.25" thickTop="1" thickBot="1">
      <c r="B78" t="str">
        <f>wyniki!B96</f>
        <v>Olichwiruk Piotr</v>
      </c>
      <c r="C78" s="56">
        <f>wyniki!K96</f>
        <v>346.82</v>
      </c>
      <c r="D78" s="18">
        <v>-7.6999999999999996E-4</v>
      </c>
      <c r="E78" s="56">
        <f t="shared" si="5"/>
        <v>-346.82076999999998</v>
      </c>
      <c r="F78" t="str">
        <f>wyniki!$A$91</f>
        <v>SP18 Płock</v>
      </c>
      <c r="G78" s="56">
        <f t="shared" si="6"/>
        <v>-346.82</v>
      </c>
      <c r="J78" s="79" t="e">
        <f t="shared" si="7"/>
        <v>#NUM!</v>
      </c>
      <c r="K78" s="61" t="e">
        <f>-LARGE($E$2:$E$241,77)</f>
        <v>#NUM!</v>
      </c>
      <c r="L78" s="59" t="e">
        <f t="shared" si="9"/>
        <v>#NUM!</v>
      </c>
      <c r="M78" s="90" t="e">
        <f t="shared" si="8"/>
        <v>#NUM!</v>
      </c>
      <c r="N78" s="37">
        <v>77</v>
      </c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</row>
    <row r="79" spans="2:31" ht="17.25" thickTop="1" thickBot="1">
      <c r="B79" t="str">
        <f>wyniki!B97</f>
        <v>Płachecki Sebastian</v>
      </c>
      <c r="C79" s="56">
        <f>wyniki!K97</f>
        <v>426.5</v>
      </c>
      <c r="D79" s="18">
        <v>-7.7999999999999999E-4</v>
      </c>
      <c r="E79" s="56">
        <f t="shared" si="5"/>
        <v>-426.50078000000002</v>
      </c>
      <c r="F79" t="str">
        <f>wyniki!$A$91</f>
        <v>SP18 Płock</v>
      </c>
      <c r="G79" s="56">
        <f t="shared" si="6"/>
        <v>-426.5</v>
      </c>
      <c r="J79" s="79" t="e">
        <f t="shared" si="7"/>
        <v>#NUM!</v>
      </c>
      <c r="K79" s="61" t="e">
        <f>-LARGE($E$2:$E$241,78)</f>
        <v>#NUM!</v>
      </c>
      <c r="L79" s="59" t="e">
        <f t="shared" si="9"/>
        <v>#NUM!</v>
      </c>
      <c r="M79" s="90" t="e">
        <f t="shared" si="8"/>
        <v>#NUM!</v>
      </c>
      <c r="N79" s="37">
        <v>78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</row>
    <row r="80" spans="2:31" ht="17.25" thickTop="1" thickBot="1">
      <c r="B80">
        <f>wyniki!B99</f>
        <v>0</v>
      </c>
      <c r="C80" s="56">
        <f>wyniki!K99</f>
        <v>0</v>
      </c>
      <c r="D80" s="18">
        <v>-7.9000000000000001E-4</v>
      </c>
      <c r="E80" s="56" t="b">
        <f t="shared" si="5"/>
        <v>0</v>
      </c>
      <c r="F80">
        <f>wyniki!$A$98</f>
        <v>0</v>
      </c>
      <c r="G80" s="56">
        <f t="shared" si="6"/>
        <v>0</v>
      </c>
      <c r="J80" s="79" t="e">
        <f t="shared" si="7"/>
        <v>#NUM!</v>
      </c>
      <c r="K80" s="61" t="e">
        <f>-LARGE($E$2:$E$241,79)</f>
        <v>#NUM!</v>
      </c>
      <c r="L80" s="59" t="e">
        <f t="shared" si="9"/>
        <v>#NUM!</v>
      </c>
      <c r="M80" s="90" t="e">
        <f t="shared" si="8"/>
        <v>#NUM!</v>
      </c>
      <c r="N80" s="37">
        <v>79</v>
      </c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</row>
    <row r="81" spans="2:31" ht="17.25" thickTop="1" thickBot="1">
      <c r="B81">
        <f>wyniki!B100</f>
        <v>0</v>
      </c>
      <c r="C81" s="56">
        <f>wyniki!K100</f>
        <v>0</v>
      </c>
      <c r="D81" s="18">
        <v>-8.0000000000000004E-4</v>
      </c>
      <c r="E81" s="56" t="b">
        <f t="shared" si="5"/>
        <v>0</v>
      </c>
      <c r="F81">
        <f>wyniki!$A$98</f>
        <v>0</v>
      </c>
      <c r="G81" s="56">
        <f t="shared" si="6"/>
        <v>0</v>
      </c>
      <c r="J81" s="79" t="e">
        <f t="shared" si="7"/>
        <v>#NUM!</v>
      </c>
      <c r="K81" s="61" t="e">
        <f>-LARGE($E$2:$E$241,80)</f>
        <v>#NUM!</v>
      </c>
      <c r="L81" s="59" t="e">
        <f t="shared" si="9"/>
        <v>#NUM!</v>
      </c>
      <c r="M81" s="90" t="e">
        <f t="shared" si="8"/>
        <v>#NUM!</v>
      </c>
      <c r="N81" s="37">
        <v>80</v>
      </c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</row>
    <row r="82" spans="2:31" ht="17.25" thickTop="1" thickBot="1">
      <c r="B82">
        <f>wyniki!B101</f>
        <v>0</v>
      </c>
      <c r="C82" s="56">
        <f>wyniki!K101</f>
        <v>0</v>
      </c>
      <c r="D82" s="18">
        <v>-8.0999999999999996E-4</v>
      </c>
      <c r="E82" s="56" t="b">
        <f t="shared" si="5"/>
        <v>0</v>
      </c>
      <c r="F82">
        <f>wyniki!$A$98</f>
        <v>0</v>
      </c>
      <c r="G82" s="56">
        <f t="shared" si="6"/>
        <v>0</v>
      </c>
      <c r="J82" s="79" t="e">
        <f t="shared" si="7"/>
        <v>#NUM!</v>
      </c>
      <c r="K82" s="61" t="e">
        <f>-LARGE($E$2:$E$241,81)</f>
        <v>#NUM!</v>
      </c>
      <c r="L82" s="59" t="e">
        <f t="shared" si="9"/>
        <v>#NUM!</v>
      </c>
      <c r="M82" s="90" t="e">
        <f t="shared" si="8"/>
        <v>#NUM!</v>
      </c>
      <c r="N82" s="37">
        <v>81</v>
      </c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</row>
    <row r="83" spans="2:31" ht="17.25" thickTop="1" thickBot="1">
      <c r="B83">
        <f>wyniki!B102</f>
        <v>0</v>
      </c>
      <c r="C83" s="56">
        <f>wyniki!K102</f>
        <v>0</v>
      </c>
      <c r="D83" s="18">
        <v>-8.1999999999999998E-4</v>
      </c>
      <c r="E83" s="56" t="b">
        <f t="shared" si="5"/>
        <v>0</v>
      </c>
      <c r="F83">
        <f>wyniki!$A$98</f>
        <v>0</v>
      </c>
      <c r="G83" s="56">
        <f t="shared" si="6"/>
        <v>0</v>
      </c>
      <c r="J83" s="79" t="e">
        <f t="shared" si="7"/>
        <v>#NUM!</v>
      </c>
      <c r="K83" s="61" t="e">
        <f>-LARGE($E$2:$E$241,82)</f>
        <v>#NUM!</v>
      </c>
      <c r="L83" s="59" t="e">
        <f t="shared" si="9"/>
        <v>#NUM!</v>
      </c>
      <c r="M83" s="90" t="e">
        <f t="shared" si="8"/>
        <v>#NUM!</v>
      </c>
      <c r="N83" s="37">
        <v>82</v>
      </c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</row>
    <row r="84" spans="2:31" ht="17.25" thickTop="1" thickBot="1">
      <c r="B84">
        <f>wyniki!B103</f>
        <v>0</v>
      </c>
      <c r="C84" s="56">
        <f>wyniki!K103</f>
        <v>0</v>
      </c>
      <c r="D84" s="18">
        <v>-8.3000000000000001E-4</v>
      </c>
      <c r="E84" s="56" t="b">
        <f t="shared" si="5"/>
        <v>0</v>
      </c>
      <c r="F84">
        <f>wyniki!$A$98</f>
        <v>0</v>
      </c>
      <c r="G84" s="56">
        <f t="shared" si="6"/>
        <v>0</v>
      </c>
      <c r="J84" s="79" t="e">
        <f t="shared" si="7"/>
        <v>#NUM!</v>
      </c>
      <c r="K84" s="61" t="e">
        <f>-LARGE($E$2:$E$241,83)</f>
        <v>#NUM!</v>
      </c>
      <c r="L84" s="59" t="e">
        <f t="shared" si="9"/>
        <v>#NUM!</v>
      </c>
      <c r="M84" s="90" t="e">
        <f t="shared" si="8"/>
        <v>#NUM!</v>
      </c>
      <c r="N84" s="37">
        <v>83</v>
      </c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</row>
    <row r="85" spans="2:31" ht="17.25" thickTop="1" thickBot="1">
      <c r="B85">
        <f>wyniki!B104</f>
        <v>0</v>
      </c>
      <c r="C85" s="56">
        <f>wyniki!K104</f>
        <v>0</v>
      </c>
      <c r="D85" s="18">
        <v>-8.4000000000000003E-4</v>
      </c>
      <c r="E85" s="56" t="b">
        <f t="shared" si="5"/>
        <v>0</v>
      </c>
      <c r="F85">
        <f>wyniki!$A$98</f>
        <v>0</v>
      </c>
      <c r="G85" s="56">
        <f t="shared" si="6"/>
        <v>0</v>
      </c>
      <c r="J85" s="79" t="e">
        <f t="shared" si="7"/>
        <v>#NUM!</v>
      </c>
      <c r="K85" s="61" t="e">
        <f>-LARGE($E$2:$E$241,84)</f>
        <v>#NUM!</v>
      </c>
      <c r="L85" s="59" t="e">
        <f t="shared" si="9"/>
        <v>#NUM!</v>
      </c>
      <c r="M85" s="90" t="e">
        <f t="shared" si="8"/>
        <v>#NUM!</v>
      </c>
      <c r="N85" s="37">
        <v>84</v>
      </c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</row>
    <row r="86" spans="2:31" ht="17.25" thickTop="1" thickBot="1">
      <c r="B86">
        <f>wyniki!B106</f>
        <v>0</v>
      </c>
      <c r="C86" s="56">
        <f>wyniki!K106</f>
        <v>0</v>
      </c>
      <c r="D86" s="18">
        <v>-8.4999999999999995E-4</v>
      </c>
      <c r="E86" s="56" t="b">
        <f t="shared" si="5"/>
        <v>0</v>
      </c>
      <c r="F86">
        <f>wyniki!$A$105</f>
        <v>0</v>
      </c>
      <c r="G86" s="56">
        <f t="shared" si="6"/>
        <v>0</v>
      </c>
      <c r="J86" s="79" t="e">
        <f t="shared" si="7"/>
        <v>#NUM!</v>
      </c>
      <c r="K86" s="61" t="e">
        <f>-LARGE($E$2:$E$241,85)</f>
        <v>#NUM!</v>
      </c>
      <c r="L86" s="59" t="e">
        <f t="shared" si="9"/>
        <v>#NUM!</v>
      </c>
      <c r="M86" s="90" t="e">
        <f t="shared" si="8"/>
        <v>#NUM!</v>
      </c>
      <c r="N86" s="37">
        <v>85</v>
      </c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</row>
    <row r="87" spans="2:31" ht="17.25" thickTop="1" thickBot="1">
      <c r="B87">
        <f>wyniki!B107</f>
        <v>0</v>
      </c>
      <c r="C87" s="56">
        <f>wyniki!K107</f>
        <v>0</v>
      </c>
      <c r="D87" s="18">
        <v>-8.5999999999999998E-4</v>
      </c>
      <c r="E87" s="56" t="b">
        <f t="shared" si="5"/>
        <v>0</v>
      </c>
      <c r="F87">
        <f>wyniki!$A$105</f>
        <v>0</v>
      </c>
      <c r="G87" s="56">
        <f t="shared" si="6"/>
        <v>0</v>
      </c>
      <c r="J87" s="79" t="e">
        <f t="shared" si="7"/>
        <v>#NUM!</v>
      </c>
      <c r="K87" s="61" t="e">
        <f>-LARGE($E$2:$E$241,86)</f>
        <v>#NUM!</v>
      </c>
      <c r="L87" s="59" t="e">
        <f t="shared" si="9"/>
        <v>#NUM!</v>
      </c>
      <c r="M87" s="90" t="e">
        <f t="shared" si="8"/>
        <v>#NUM!</v>
      </c>
      <c r="N87" s="37">
        <v>86</v>
      </c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</row>
    <row r="88" spans="2:31" ht="17.25" thickTop="1" thickBot="1">
      <c r="B88">
        <f>wyniki!B108</f>
        <v>0</v>
      </c>
      <c r="C88" s="56">
        <f>wyniki!K108</f>
        <v>0</v>
      </c>
      <c r="D88" s="18">
        <v>-8.7000000000000001E-4</v>
      </c>
      <c r="E88" s="56" t="b">
        <f t="shared" si="5"/>
        <v>0</v>
      </c>
      <c r="F88">
        <f>wyniki!$A$105</f>
        <v>0</v>
      </c>
      <c r="G88" s="56">
        <f t="shared" si="6"/>
        <v>0</v>
      </c>
      <c r="J88" s="79" t="e">
        <f t="shared" si="7"/>
        <v>#NUM!</v>
      </c>
      <c r="K88" s="61" t="e">
        <f>-LARGE($E$2:$E$241,87)</f>
        <v>#NUM!</v>
      </c>
      <c r="L88" s="59" t="e">
        <f t="shared" si="9"/>
        <v>#NUM!</v>
      </c>
      <c r="M88" s="90" t="e">
        <f t="shared" si="8"/>
        <v>#NUM!</v>
      </c>
      <c r="N88" s="37">
        <v>87</v>
      </c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</row>
    <row r="89" spans="2:31" ht="17.25" thickTop="1" thickBot="1">
      <c r="B89">
        <f>wyniki!B109</f>
        <v>0</v>
      </c>
      <c r="C89" s="56">
        <f>wyniki!K109</f>
        <v>0</v>
      </c>
      <c r="D89" s="18">
        <v>-8.8000000000000003E-4</v>
      </c>
      <c r="E89" s="56" t="b">
        <f t="shared" si="5"/>
        <v>0</v>
      </c>
      <c r="F89">
        <f>wyniki!$A$105</f>
        <v>0</v>
      </c>
      <c r="G89" s="56">
        <f t="shared" si="6"/>
        <v>0</v>
      </c>
      <c r="J89" s="79" t="e">
        <f t="shared" si="7"/>
        <v>#NUM!</v>
      </c>
      <c r="K89" s="61" t="e">
        <f>-LARGE($E$2:$E$241,88)</f>
        <v>#NUM!</v>
      </c>
      <c r="L89" s="59" t="e">
        <f t="shared" si="9"/>
        <v>#NUM!</v>
      </c>
      <c r="M89" s="90" t="e">
        <f t="shared" si="8"/>
        <v>#NUM!</v>
      </c>
      <c r="N89" s="37">
        <v>88</v>
      </c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</row>
    <row r="90" spans="2:31" ht="17.25" thickTop="1" thickBot="1">
      <c r="B90">
        <f>wyniki!B110</f>
        <v>0</v>
      </c>
      <c r="C90" s="56">
        <f>wyniki!K110</f>
        <v>0</v>
      </c>
      <c r="D90" s="18">
        <v>-8.8999999999999995E-4</v>
      </c>
      <c r="E90" s="56" t="b">
        <f t="shared" si="5"/>
        <v>0</v>
      </c>
      <c r="F90">
        <f>wyniki!$A$105</f>
        <v>0</v>
      </c>
      <c r="G90" s="56">
        <f t="shared" si="6"/>
        <v>0</v>
      </c>
      <c r="J90" s="79" t="e">
        <f t="shared" si="7"/>
        <v>#NUM!</v>
      </c>
      <c r="K90" s="61" t="e">
        <f>-LARGE($E$2:$E$241,89)</f>
        <v>#NUM!</v>
      </c>
      <c r="L90" s="59" t="e">
        <f t="shared" si="9"/>
        <v>#NUM!</v>
      </c>
      <c r="M90" s="90" t="e">
        <f t="shared" si="8"/>
        <v>#NUM!</v>
      </c>
      <c r="N90" s="37">
        <v>89</v>
      </c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</row>
    <row r="91" spans="2:31" ht="17.25" thickTop="1" thickBot="1">
      <c r="B91">
        <f>wyniki!B111</f>
        <v>0</v>
      </c>
      <c r="C91" s="56">
        <f>wyniki!K111</f>
        <v>0</v>
      </c>
      <c r="D91" s="18">
        <v>-8.9999999999999998E-4</v>
      </c>
      <c r="E91" s="56" t="b">
        <f t="shared" si="5"/>
        <v>0</v>
      </c>
      <c r="F91">
        <f>wyniki!$A$105</f>
        <v>0</v>
      </c>
      <c r="G91" s="56">
        <f t="shared" si="6"/>
        <v>0</v>
      </c>
      <c r="J91" s="79" t="e">
        <f t="shared" si="7"/>
        <v>#NUM!</v>
      </c>
      <c r="K91" s="61" t="e">
        <f>-LARGE($E$2:$E$241,90)</f>
        <v>#NUM!</v>
      </c>
      <c r="L91" s="59" t="e">
        <f t="shared" si="9"/>
        <v>#NUM!</v>
      </c>
      <c r="M91" s="90" t="e">
        <f t="shared" si="8"/>
        <v>#NUM!</v>
      </c>
      <c r="N91" s="37">
        <v>90</v>
      </c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</row>
    <row r="92" spans="2:31" ht="17.25" thickTop="1" thickBot="1">
      <c r="B92">
        <f>wyniki!B113</f>
        <v>0</v>
      </c>
      <c r="C92" s="56">
        <f>wyniki!K113</f>
        <v>0</v>
      </c>
      <c r="D92" s="18">
        <v>-9.1E-4</v>
      </c>
      <c r="E92" s="56" t="b">
        <f t="shared" si="5"/>
        <v>0</v>
      </c>
      <c r="F92">
        <f>wyniki!$A$112</f>
        <v>0</v>
      </c>
      <c r="G92" s="56">
        <f t="shared" si="6"/>
        <v>0</v>
      </c>
      <c r="J92" s="79" t="e">
        <f t="shared" si="7"/>
        <v>#NUM!</v>
      </c>
      <c r="K92" s="61" t="e">
        <f>-LARGE($E$2:$E$241,91)</f>
        <v>#NUM!</v>
      </c>
      <c r="L92" s="59" t="e">
        <f t="shared" si="9"/>
        <v>#NUM!</v>
      </c>
      <c r="M92" s="90" t="e">
        <f t="shared" si="8"/>
        <v>#NUM!</v>
      </c>
      <c r="N92" s="37">
        <v>91</v>
      </c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</row>
    <row r="93" spans="2:31" ht="17.25" thickTop="1" thickBot="1">
      <c r="B93">
        <f>wyniki!B114</f>
        <v>0</v>
      </c>
      <c r="C93" s="56">
        <f>wyniki!K114</f>
        <v>0</v>
      </c>
      <c r="D93" s="18">
        <v>-9.2000000000000003E-4</v>
      </c>
      <c r="E93" s="56" t="b">
        <f t="shared" si="5"/>
        <v>0</v>
      </c>
      <c r="F93">
        <f>wyniki!$A$112</f>
        <v>0</v>
      </c>
      <c r="G93" s="56">
        <f t="shared" si="6"/>
        <v>0</v>
      </c>
      <c r="J93" s="79" t="e">
        <f t="shared" si="7"/>
        <v>#NUM!</v>
      </c>
      <c r="K93" s="61" t="e">
        <f>-LARGE($E$2:$E$241,92)</f>
        <v>#NUM!</v>
      </c>
      <c r="L93" s="59" t="e">
        <f t="shared" si="9"/>
        <v>#NUM!</v>
      </c>
      <c r="M93" s="90" t="e">
        <f t="shared" si="8"/>
        <v>#NUM!</v>
      </c>
      <c r="N93" s="37">
        <v>92</v>
      </c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</row>
    <row r="94" spans="2:31" ht="17.25" thickTop="1" thickBot="1">
      <c r="B94">
        <f>wyniki!B115</f>
        <v>0</v>
      </c>
      <c r="C94" s="56">
        <f>wyniki!K115</f>
        <v>0</v>
      </c>
      <c r="D94" s="18">
        <v>-9.3000000000000005E-4</v>
      </c>
      <c r="E94" s="56" t="b">
        <f t="shared" si="5"/>
        <v>0</v>
      </c>
      <c r="F94">
        <f>wyniki!$A$112</f>
        <v>0</v>
      </c>
      <c r="G94" s="56">
        <f t="shared" si="6"/>
        <v>0</v>
      </c>
      <c r="J94" s="79" t="e">
        <f t="shared" si="7"/>
        <v>#NUM!</v>
      </c>
      <c r="K94" s="61" t="e">
        <f>-LARGE($E$2:$E$241,93)</f>
        <v>#NUM!</v>
      </c>
      <c r="L94" s="59" t="e">
        <f t="shared" si="9"/>
        <v>#NUM!</v>
      </c>
      <c r="M94" s="90" t="e">
        <f t="shared" si="8"/>
        <v>#NUM!</v>
      </c>
      <c r="N94" s="37">
        <v>93</v>
      </c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</row>
    <row r="95" spans="2:31" ht="17.25" thickTop="1" thickBot="1">
      <c r="B95">
        <f>wyniki!B116</f>
        <v>0</v>
      </c>
      <c r="C95" s="56">
        <f>wyniki!K116</f>
        <v>0</v>
      </c>
      <c r="D95" s="18">
        <v>-9.3999999999999997E-4</v>
      </c>
      <c r="E95" s="56" t="b">
        <f t="shared" si="5"/>
        <v>0</v>
      </c>
      <c r="F95">
        <f>wyniki!$A$112</f>
        <v>0</v>
      </c>
      <c r="G95" s="56">
        <f t="shared" si="6"/>
        <v>0</v>
      </c>
      <c r="J95" s="79" t="e">
        <f t="shared" si="7"/>
        <v>#NUM!</v>
      </c>
      <c r="K95" s="61" t="e">
        <f>-LARGE($E$2:$E$241,94)</f>
        <v>#NUM!</v>
      </c>
      <c r="L95" s="59" t="e">
        <f t="shared" si="9"/>
        <v>#NUM!</v>
      </c>
      <c r="M95" s="90" t="e">
        <f t="shared" si="8"/>
        <v>#NUM!</v>
      </c>
      <c r="N95" s="37">
        <v>94</v>
      </c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</row>
    <row r="96" spans="2:31" ht="17.25" thickTop="1" thickBot="1">
      <c r="B96">
        <f>wyniki!B117</f>
        <v>0</v>
      </c>
      <c r="C96" s="56">
        <f>wyniki!K117</f>
        <v>0</v>
      </c>
      <c r="D96" s="18">
        <v>-9.5E-4</v>
      </c>
      <c r="E96" s="56" t="b">
        <f t="shared" si="5"/>
        <v>0</v>
      </c>
      <c r="F96">
        <f>wyniki!$A$112</f>
        <v>0</v>
      </c>
      <c r="G96" s="56">
        <f t="shared" si="6"/>
        <v>0</v>
      </c>
      <c r="J96" s="79" t="e">
        <f t="shared" si="7"/>
        <v>#NUM!</v>
      </c>
      <c r="K96" s="61" t="e">
        <f>-LARGE($E$2:$E$241,95)</f>
        <v>#NUM!</v>
      </c>
      <c r="L96" s="59" t="e">
        <f t="shared" si="9"/>
        <v>#NUM!</v>
      </c>
      <c r="M96" s="90" t="e">
        <f t="shared" si="8"/>
        <v>#NUM!</v>
      </c>
      <c r="N96" s="37">
        <v>95</v>
      </c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</row>
    <row r="97" spans="2:31" ht="17.25" thickTop="1" thickBot="1">
      <c r="B97">
        <f>wyniki!B118</f>
        <v>0</v>
      </c>
      <c r="C97" s="56">
        <f>wyniki!K118</f>
        <v>0</v>
      </c>
      <c r="D97" s="18">
        <v>-9.6000000000000002E-4</v>
      </c>
      <c r="E97" s="56" t="b">
        <f t="shared" si="5"/>
        <v>0</v>
      </c>
      <c r="F97">
        <f>wyniki!$A$112</f>
        <v>0</v>
      </c>
      <c r="G97" s="56">
        <f t="shared" si="6"/>
        <v>0</v>
      </c>
      <c r="J97" s="79" t="e">
        <f t="shared" si="7"/>
        <v>#NUM!</v>
      </c>
      <c r="K97" s="61" t="e">
        <f>-LARGE($E$2:$E$241,96)</f>
        <v>#NUM!</v>
      </c>
      <c r="L97" s="59" t="e">
        <f t="shared" si="9"/>
        <v>#NUM!</v>
      </c>
      <c r="M97" s="90" t="e">
        <f t="shared" si="8"/>
        <v>#NUM!</v>
      </c>
      <c r="N97" s="37">
        <v>96</v>
      </c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</row>
    <row r="98" spans="2:31" ht="17.25" thickTop="1" thickBot="1">
      <c r="B98">
        <f>wyniki!B120</f>
        <v>0</v>
      </c>
      <c r="C98" s="56">
        <f>wyniki!K120</f>
        <v>0</v>
      </c>
      <c r="D98" s="18">
        <v>-9.7000000000000005E-4</v>
      </c>
      <c r="E98" s="56" t="b">
        <f t="shared" si="5"/>
        <v>0</v>
      </c>
      <c r="F98">
        <f>wyniki!$A$119</f>
        <v>0</v>
      </c>
      <c r="G98" s="56">
        <f t="shared" si="6"/>
        <v>0</v>
      </c>
      <c r="J98" s="79" t="e">
        <f t="shared" si="7"/>
        <v>#NUM!</v>
      </c>
      <c r="K98" s="61" t="e">
        <f>-LARGE($E$2:$E$241,97)</f>
        <v>#NUM!</v>
      </c>
      <c r="L98" s="59" t="e">
        <f t="shared" si="9"/>
        <v>#NUM!</v>
      </c>
      <c r="M98" s="90" t="e">
        <f t="shared" si="8"/>
        <v>#NUM!</v>
      </c>
      <c r="N98" s="37">
        <v>97</v>
      </c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</row>
    <row r="99" spans="2:31" ht="17.25" thickTop="1" thickBot="1">
      <c r="B99">
        <f>wyniki!B121</f>
        <v>0</v>
      </c>
      <c r="C99" s="56">
        <f>wyniki!K121</f>
        <v>0</v>
      </c>
      <c r="D99" s="18">
        <v>-9.7999999999999997E-4</v>
      </c>
      <c r="E99" s="56" t="b">
        <f t="shared" si="5"/>
        <v>0</v>
      </c>
      <c r="F99">
        <f>wyniki!$A$119</f>
        <v>0</v>
      </c>
      <c r="G99" s="56">
        <f t="shared" si="6"/>
        <v>0</v>
      </c>
      <c r="J99" s="79" t="e">
        <f t="shared" si="7"/>
        <v>#NUM!</v>
      </c>
      <c r="K99" s="61" t="e">
        <f>-LARGE($E$2:$E$241,98)</f>
        <v>#NUM!</v>
      </c>
      <c r="L99" s="59" t="e">
        <f t="shared" si="9"/>
        <v>#NUM!</v>
      </c>
      <c r="M99" s="90" t="e">
        <f t="shared" si="8"/>
        <v>#NUM!</v>
      </c>
      <c r="N99" s="37">
        <v>98</v>
      </c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</row>
    <row r="100" spans="2:31" ht="17.25" thickTop="1" thickBot="1">
      <c r="B100">
        <f>wyniki!B122</f>
        <v>0</v>
      </c>
      <c r="C100" s="56">
        <f>wyniki!K122</f>
        <v>0</v>
      </c>
      <c r="D100" s="18">
        <v>-9.8999999999999999E-4</v>
      </c>
      <c r="E100" s="56" t="b">
        <f t="shared" si="5"/>
        <v>0</v>
      </c>
      <c r="F100">
        <f>wyniki!$A$119</f>
        <v>0</v>
      </c>
      <c r="G100" s="56">
        <f t="shared" si="6"/>
        <v>0</v>
      </c>
      <c r="J100" s="79" t="e">
        <f t="shared" si="7"/>
        <v>#NUM!</v>
      </c>
      <c r="K100" s="61" t="e">
        <f>-LARGE($E$2:$E$241,99)</f>
        <v>#NUM!</v>
      </c>
      <c r="L100" s="59" t="e">
        <f t="shared" si="9"/>
        <v>#NUM!</v>
      </c>
      <c r="M100" s="90" t="e">
        <f t="shared" si="8"/>
        <v>#NUM!</v>
      </c>
      <c r="N100" s="37">
        <v>99</v>
      </c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</row>
    <row r="101" spans="2:31" ht="17.25" thickTop="1" thickBot="1">
      <c r="B101">
        <f>wyniki!B123</f>
        <v>0</v>
      </c>
      <c r="C101" s="56">
        <f>wyniki!K123</f>
        <v>0</v>
      </c>
      <c r="D101" s="18">
        <v>-1E-3</v>
      </c>
      <c r="E101" s="56" t="b">
        <f t="shared" si="5"/>
        <v>0</v>
      </c>
      <c r="F101">
        <f>wyniki!$A$119</f>
        <v>0</v>
      </c>
      <c r="G101" s="56">
        <f t="shared" si="6"/>
        <v>0</v>
      </c>
      <c r="J101" s="79" t="e">
        <f t="shared" si="7"/>
        <v>#NUM!</v>
      </c>
      <c r="K101" s="61" t="e">
        <f>-LARGE($E$2:$E$241,100)</f>
        <v>#NUM!</v>
      </c>
      <c r="L101" s="59" t="e">
        <f t="shared" si="9"/>
        <v>#NUM!</v>
      </c>
      <c r="M101" s="90" t="e">
        <f t="shared" si="8"/>
        <v>#NUM!</v>
      </c>
      <c r="N101" s="37">
        <v>100</v>
      </c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</row>
    <row r="102" spans="2:31" ht="17.25" thickTop="1" thickBot="1">
      <c r="B102">
        <f>wyniki!B124</f>
        <v>0</v>
      </c>
      <c r="C102" s="56">
        <f>wyniki!K124</f>
        <v>0</v>
      </c>
      <c r="D102" s="18">
        <v>-1.01E-3</v>
      </c>
      <c r="E102" s="56" t="b">
        <f t="shared" si="5"/>
        <v>0</v>
      </c>
      <c r="F102">
        <f>wyniki!$A$119</f>
        <v>0</v>
      </c>
      <c r="G102" s="56">
        <f t="shared" si="6"/>
        <v>0</v>
      </c>
      <c r="J102" s="79" t="e">
        <f t="shared" si="7"/>
        <v>#NUM!</v>
      </c>
      <c r="K102" s="61" t="e">
        <f>-LARGE($E$2:$E$241,101)</f>
        <v>#NUM!</v>
      </c>
      <c r="L102" s="59" t="e">
        <f t="shared" si="9"/>
        <v>#NUM!</v>
      </c>
      <c r="M102" s="90" t="e">
        <f t="shared" si="8"/>
        <v>#NUM!</v>
      </c>
      <c r="N102" s="37">
        <v>101</v>
      </c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</row>
    <row r="103" spans="2:31" ht="17.25" thickTop="1" thickBot="1">
      <c r="B103">
        <f>wyniki!B125</f>
        <v>0</v>
      </c>
      <c r="C103" s="56">
        <f>wyniki!K125</f>
        <v>0</v>
      </c>
      <c r="D103" s="18">
        <v>-1.0200000000000001E-3</v>
      </c>
      <c r="E103" s="56" t="b">
        <f t="shared" si="5"/>
        <v>0</v>
      </c>
      <c r="F103">
        <f>wyniki!$A$119</f>
        <v>0</v>
      </c>
      <c r="G103" s="56">
        <f t="shared" si="6"/>
        <v>0</v>
      </c>
      <c r="J103" s="79" t="e">
        <f t="shared" si="7"/>
        <v>#NUM!</v>
      </c>
      <c r="K103" s="61" t="e">
        <f>-LARGE($E$2:$E$241,102)</f>
        <v>#NUM!</v>
      </c>
      <c r="L103" s="59" t="e">
        <f t="shared" si="9"/>
        <v>#NUM!</v>
      </c>
      <c r="M103" s="90" t="e">
        <f t="shared" si="8"/>
        <v>#NUM!</v>
      </c>
      <c r="N103" s="37">
        <v>102</v>
      </c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</row>
    <row r="104" spans="2:31" ht="17.25" thickTop="1" thickBot="1">
      <c r="B104">
        <f>wyniki!B127</f>
        <v>0</v>
      </c>
      <c r="C104" s="56">
        <f>wyniki!K127</f>
        <v>0</v>
      </c>
      <c r="D104" s="18">
        <v>-1.0300000000000001E-3</v>
      </c>
      <c r="E104" s="56" t="b">
        <f t="shared" si="5"/>
        <v>0</v>
      </c>
      <c r="F104">
        <f>wyniki!$A$126</f>
        <v>0</v>
      </c>
      <c r="G104" s="56">
        <f t="shared" si="6"/>
        <v>0</v>
      </c>
      <c r="J104" s="79" t="e">
        <f t="shared" si="7"/>
        <v>#NUM!</v>
      </c>
      <c r="K104" s="61" t="e">
        <f>-LARGE($E$2:$E$241,103)</f>
        <v>#NUM!</v>
      </c>
      <c r="L104" s="59" t="e">
        <f t="shared" si="9"/>
        <v>#NUM!</v>
      </c>
      <c r="M104" s="90" t="e">
        <f t="shared" si="8"/>
        <v>#NUM!</v>
      </c>
      <c r="N104" s="37">
        <v>103</v>
      </c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</row>
    <row r="105" spans="2:31" ht="17.25" thickTop="1" thickBot="1">
      <c r="B105">
        <f>wyniki!B128</f>
        <v>0</v>
      </c>
      <c r="C105" s="56">
        <f>wyniki!K128</f>
        <v>0</v>
      </c>
      <c r="D105" s="18">
        <v>-1.0399999999999999E-3</v>
      </c>
      <c r="E105" s="56" t="b">
        <f t="shared" si="5"/>
        <v>0</v>
      </c>
      <c r="F105">
        <f>wyniki!$A$126</f>
        <v>0</v>
      </c>
      <c r="G105" s="56">
        <f t="shared" si="6"/>
        <v>0</v>
      </c>
      <c r="J105" s="79" t="e">
        <f t="shared" si="7"/>
        <v>#NUM!</v>
      </c>
      <c r="K105" s="61" t="e">
        <f>-LARGE($E$2:$E$241,104)</f>
        <v>#NUM!</v>
      </c>
      <c r="L105" s="59" t="e">
        <f t="shared" si="9"/>
        <v>#NUM!</v>
      </c>
      <c r="M105" s="90" t="e">
        <f t="shared" si="8"/>
        <v>#NUM!</v>
      </c>
      <c r="N105" s="37">
        <v>104</v>
      </c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</row>
    <row r="106" spans="2:31" ht="17.25" thickTop="1" thickBot="1">
      <c r="B106">
        <f>wyniki!B129</f>
        <v>0</v>
      </c>
      <c r="C106" s="56">
        <f>wyniki!K129</f>
        <v>0</v>
      </c>
      <c r="D106" s="18">
        <v>-1.0499999999999999E-3</v>
      </c>
      <c r="E106" s="56" t="b">
        <f t="shared" si="5"/>
        <v>0</v>
      </c>
      <c r="F106">
        <f>wyniki!$A$126</f>
        <v>0</v>
      </c>
      <c r="G106" s="56">
        <f t="shared" si="6"/>
        <v>0</v>
      </c>
      <c r="J106" s="79" t="e">
        <f t="shared" si="7"/>
        <v>#NUM!</v>
      </c>
      <c r="K106" s="61" t="e">
        <f>-LARGE($E$2:$E$241,105)</f>
        <v>#NUM!</v>
      </c>
      <c r="L106" s="59" t="e">
        <f t="shared" si="9"/>
        <v>#NUM!</v>
      </c>
      <c r="M106" s="90" t="e">
        <f t="shared" si="8"/>
        <v>#NUM!</v>
      </c>
      <c r="N106" s="37">
        <v>105</v>
      </c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</row>
    <row r="107" spans="2:31" ht="17.25" thickTop="1" thickBot="1">
      <c r="B107">
        <f>wyniki!B130</f>
        <v>0</v>
      </c>
      <c r="C107" s="56">
        <f>wyniki!K130</f>
        <v>0</v>
      </c>
      <c r="D107" s="18">
        <v>-1.06E-3</v>
      </c>
      <c r="E107" s="56" t="b">
        <f t="shared" si="5"/>
        <v>0</v>
      </c>
      <c r="F107">
        <f>wyniki!$A$126</f>
        <v>0</v>
      </c>
      <c r="G107" s="56">
        <f t="shared" si="6"/>
        <v>0</v>
      </c>
      <c r="J107" s="79" t="e">
        <f t="shared" si="7"/>
        <v>#NUM!</v>
      </c>
      <c r="K107" s="61" t="e">
        <f>-LARGE($E$2:$E$241,106)</f>
        <v>#NUM!</v>
      </c>
      <c r="L107" s="59" t="e">
        <f t="shared" si="9"/>
        <v>#NUM!</v>
      </c>
      <c r="M107" s="90" t="e">
        <f t="shared" si="8"/>
        <v>#NUM!</v>
      </c>
      <c r="N107" s="37">
        <v>106</v>
      </c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</row>
    <row r="108" spans="2:31" ht="17.25" thickTop="1" thickBot="1">
      <c r="B108">
        <f>wyniki!B131</f>
        <v>0</v>
      </c>
      <c r="C108" s="56">
        <f>wyniki!K131</f>
        <v>0</v>
      </c>
      <c r="D108" s="18">
        <v>-1.07E-3</v>
      </c>
      <c r="E108" s="56" t="b">
        <f t="shared" si="5"/>
        <v>0</v>
      </c>
      <c r="F108">
        <f>wyniki!$A$126</f>
        <v>0</v>
      </c>
      <c r="G108" s="56">
        <f t="shared" si="6"/>
        <v>0</v>
      </c>
      <c r="J108" s="79" t="e">
        <f t="shared" si="7"/>
        <v>#NUM!</v>
      </c>
      <c r="K108" s="61" t="e">
        <f>-LARGE($E$2:$E$241,107)</f>
        <v>#NUM!</v>
      </c>
      <c r="L108" s="59" t="e">
        <f t="shared" si="9"/>
        <v>#NUM!</v>
      </c>
      <c r="M108" s="90" t="e">
        <f t="shared" si="8"/>
        <v>#NUM!</v>
      </c>
      <c r="N108" s="37">
        <v>107</v>
      </c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</row>
    <row r="109" spans="2:31" ht="17.25" thickTop="1" thickBot="1">
      <c r="B109">
        <f>wyniki!B132</f>
        <v>0</v>
      </c>
      <c r="C109" s="56">
        <f>wyniki!K132</f>
        <v>0</v>
      </c>
      <c r="D109" s="18">
        <v>-1.08E-3</v>
      </c>
      <c r="E109" s="56" t="b">
        <f t="shared" si="5"/>
        <v>0</v>
      </c>
      <c r="F109">
        <f>wyniki!$A$126</f>
        <v>0</v>
      </c>
      <c r="G109" s="56">
        <f t="shared" si="6"/>
        <v>0</v>
      </c>
      <c r="J109" s="79" t="e">
        <f t="shared" si="7"/>
        <v>#NUM!</v>
      </c>
      <c r="K109" s="61" t="e">
        <f>-LARGE($E$2:$E$241,108)</f>
        <v>#NUM!</v>
      </c>
      <c r="L109" s="59" t="e">
        <f t="shared" si="9"/>
        <v>#NUM!</v>
      </c>
      <c r="M109" s="90" t="e">
        <f t="shared" si="8"/>
        <v>#NUM!</v>
      </c>
      <c r="N109" s="37">
        <v>108</v>
      </c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</row>
    <row r="110" spans="2:31" ht="17.25" thickTop="1" thickBot="1">
      <c r="B110">
        <f>wyniki!B134</f>
        <v>0</v>
      </c>
      <c r="C110" s="56">
        <f>wyniki!K134</f>
        <v>0</v>
      </c>
      <c r="D110" s="18">
        <v>-1.09E-3</v>
      </c>
      <c r="E110" s="56" t="b">
        <f t="shared" si="5"/>
        <v>0</v>
      </c>
      <c r="F110">
        <f>wyniki!$A$133</f>
        <v>0</v>
      </c>
      <c r="G110" s="56">
        <f t="shared" si="6"/>
        <v>0</v>
      </c>
      <c r="J110" s="79" t="e">
        <f t="shared" si="7"/>
        <v>#NUM!</v>
      </c>
      <c r="K110" s="61" t="e">
        <f>-LARGE($E$2:$E$241,109)</f>
        <v>#NUM!</v>
      </c>
      <c r="L110" s="59" t="e">
        <f t="shared" si="9"/>
        <v>#NUM!</v>
      </c>
      <c r="M110" s="90" t="e">
        <f t="shared" si="8"/>
        <v>#NUM!</v>
      </c>
      <c r="N110" s="37">
        <v>109</v>
      </c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</row>
    <row r="111" spans="2:31" ht="17.25" thickTop="1" thickBot="1">
      <c r="B111">
        <f>wyniki!B135</f>
        <v>0</v>
      </c>
      <c r="C111" s="56">
        <f>wyniki!K135</f>
        <v>0</v>
      </c>
      <c r="D111" s="18">
        <v>-1.1000000000000001E-3</v>
      </c>
      <c r="E111" s="56" t="b">
        <f t="shared" si="5"/>
        <v>0</v>
      </c>
      <c r="F111">
        <f>wyniki!$A$133</f>
        <v>0</v>
      </c>
      <c r="G111" s="56">
        <f t="shared" si="6"/>
        <v>0</v>
      </c>
      <c r="J111" s="79" t="e">
        <f t="shared" si="7"/>
        <v>#NUM!</v>
      </c>
      <c r="K111" s="61" t="e">
        <f>-LARGE($E$2:$E$241,110)</f>
        <v>#NUM!</v>
      </c>
      <c r="L111" s="59" t="e">
        <f t="shared" si="9"/>
        <v>#NUM!</v>
      </c>
      <c r="M111" s="90" t="e">
        <f t="shared" si="8"/>
        <v>#NUM!</v>
      </c>
      <c r="N111" s="37">
        <v>110</v>
      </c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</row>
    <row r="112" spans="2:31" ht="17.25" thickTop="1" thickBot="1">
      <c r="B112">
        <f>wyniki!B136</f>
        <v>0</v>
      </c>
      <c r="C112" s="56">
        <f>wyniki!K136</f>
        <v>0</v>
      </c>
      <c r="D112" s="18">
        <v>-1.1100000000000001E-3</v>
      </c>
      <c r="E112" s="56" t="b">
        <f t="shared" si="5"/>
        <v>0</v>
      </c>
      <c r="F112">
        <f>wyniki!$A$133</f>
        <v>0</v>
      </c>
      <c r="G112" s="56">
        <f t="shared" si="6"/>
        <v>0</v>
      </c>
      <c r="J112" s="79" t="e">
        <f t="shared" si="7"/>
        <v>#NUM!</v>
      </c>
      <c r="K112" s="61" t="e">
        <f>-LARGE($E$2:$E$241,111)</f>
        <v>#NUM!</v>
      </c>
      <c r="L112" s="59" t="e">
        <f t="shared" si="9"/>
        <v>#NUM!</v>
      </c>
      <c r="M112" s="90" t="e">
        <f t="shared" si="8"/>
        <v>#NUM!</v>
      </c>
      <c r="N112" s="37">
        <v>111</v>
      </c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</row>
    <row r="113" spans="2:31" ht="17.25" thickTop="1" thickBot="1">
      <c r="B113">
        <f>wyniki!B137</f>
        <v>0</v>
      </c>
      <c r="C113" s="56">
        <f>wyniki!K137</f>
        <v>0</v>
      </c>
      <c r="D113" s="18">
        <v>-1.1199999999999999E-3</v>
      </c>
      <c r="E113" s="56" t="b">
        <f t="shared" si="5"/>
        <v>0</v>
      </c>
      <c r="F113">
        <f>wyniki!$A$133</f>
        <v>0</v>
      </c>
      <c r="G113" s="56">
        <f t="shared" si="6"/>
        <v>0</v>
      </c>
      <c r="J113" s="79" t="e">
        <f t="shared" si="7"/>
        <v>#NUM!</v>
      </c>
      <c r="K113" s="61" t="e">
        <f>-LARGE($E$2:$E$241,112)</f>
        <v>#NUM!</v>
      </c>
      <c r="L113" s="59" t="e">
        <f t="shared" si="9"/>
        <v>#NUM!</v>
      </c>
      <c r="M113" s="90" t="e">
        <f t="shared" si="8"/>
        <v>#NUM!</v>
      </c>
      <c r="N113" s="37">
        <v>112</v>
      </c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</row>
    <row r="114" spans="2:31" ht="17.25" thickTop="1" thickBot="1">
      <c r="B114">
        <f>wyniki!B138</f>
        <v>0</v>
      </c>
      <c r="C114" s="56">
        <f>wyniki!K138</f>
        <v>0</v>
      </c>
      <c r="D114" s="18">
        <v>-1.1299999999999999E-3</v>
      </c>
      <c r="E114" s="56" t="b">
        <f t="shared" si="5"/>
        <v>0</v>
      </c>
      <c r="F114">
        <f>wyniki!$A$133</f>
        <v>0</v>
      </c>
      <c r="G114" s="56">
        <f t="shared" si="6"/>
        <v>0</v>
      </c>
      <c r="J114" s="79" t="e">
        <f t="shared" si="7"/>
        <v>#NUM!</v>
      </c>
      <c r="K114" s="61" t="e">
        <f>-LARGE($E$2:$E$241,113)</f>
        <v>#NUM!</v>
      </c>
      <c r="L114" s="59" t="e">
        <f t="shared" si="9"/>
        <v>#NUM!</v>
      </c>
      <c r="M114" s="90" t="e">
        <f t="shared" si="8"/>
        <v>#NUM!</v>
      </c>
      <c r="N114" s="37">
        <v>113</v>
      </c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</row>
    <row r="115" spans="2:31" ht="17.25" thickTop="1" thickBot="1">
      <c r="B115">
        <f>wyniki!B139</f>
        <v>0</v>
      </c>
      <c r="C115" s="56">
        <f>wyniki!K139</f>
        <v>0</v>
      </c>
      <c r="D115" s="18">
        <v>-1.14E-3</v>
      </c>
      <c r="E115" s="56" t="b">
        <f t="shared" si="5"/>
        <v>0</v>
      </c>
      <c r="F115">
        <f>wyniki!$A$133</f>
        <v>0</v>
      </c>
      <c r="G115" s="56">
        <f t="shared" si="6"/>
        <v>0</v>
      </c>
      <c r="J115" s="79" t="e">
        <f t="shared" si="7"/>
        <v>#NUM!</v>
      </c>
      <c r="K115" s="61" t="e">
        <f>-LARGE($E$2:$E$241,114)</f>
        <v>#NUM!</v>
      </c>
      <c r="L115" s="59" t="e">
        <f t="shared" si="9"/>
        <v>#NUM!</v>
      </c>
      <c r="M115" s="90" t="e">
        <f t="shared" si="8"/>
        <v>#NUM!</v>
      </c>
      <c r="N115" s="37">
        <v>114</v>
      </c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</row>
    <row r="116" spans="2:31" ht="17.25" thickTop="1" thickBot="1">
      <c r="B116">
        <f>wyniki!B141</f>
        <v>0</v>
      </c>
      <c r="C116" s="56">
        <f>wyniki!K141</f>
        <v>0</v>
      </c>
      <c r="D116" s="18">
        <v>-1.15E-3</v>
      </c>
      <c r="E116" s="56" t="b">
        <f t="shared" si="5"/>
        <v>0</v>
      </c>
      <c r="F116">
        <f>wyniki!$A$140</f>
        <v>0</v>
      </c>
      <c r="G116" s="56">
        <f t="shared" si="6"/>
        <v>0</v>
      </c>
      <c r="J116" s="79" t="e">
        <f t="shared" si="7"/>
        <v>#NUM!</v>
      </c>
      <c r="K116" s="61" t="e">
        <f>-LARGE($E$2:$E$241,115)</f>
        <v>#NUM!</v>
      </c>
      <c r="L116" s="59" t="e">
        <f t="shared" si="9"/>
        <v>#NUM!</v>
      </c>
      <c r="M116" s="90" t="e">
        <f t="shared" si="8"/>
        <v>#NUM!</v>
      </c>
      <c r="N116" s="37">
        <v>115</v>
      </c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</row>
    <row r="117" spans="2:31" ht="17.25" thickTop="1" thickBot="1">
      <c r="B117">
        <f>wyniki!B142</f>
        <v>0</v>
      </c>
      <c r="C117" s="56">
        <f>wyniki!K142</f>
        <v>0</v>
      </c>
      <c r="D117" s="18">
        <v>-1.16E-3</v>
      </c>
      <c r="E117" s="56" t="b">
        <f t="shared" si="5"/>
        <v>0</v>
      </c>
      <c r="F117">
        <f>wyniki!$A$140</f>
        <v>0</v>
      </c>
      <c r="G117" s="56">
        <f t="shared" si="6"/>
        <v>0</v>
      </c>
      <c r="J117" s="79" t="e">
        <f t="shared" si="7"/>
        <v>#NUM!</v>
      </c>
      <c r="K117" s="61" t="e">
        <f>-LARGE($E$2:$E$241,116)</f>
        <v>#NUM!</v>
      </c>
      <c r="L117" s="59" t="e">
        <f t="shared" si="9"/>
        <v>#NUM!</v>
      </c>
      <c r="M117" s="90" t="e">
        <f t="shared" si="8"/>
        <v>#NUM!</v>
      </c>
      <c r="N117" s="37">
        <v>116</v>
      </c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</row>
    <row r="118" spans="2:31" ht="17.25" thickTop="1" thickBot="1">
      <c r="B118">
        <f>wyniki!B143</f>
        <v>0</v>
      </c>
      <c r="C118" s="56">
        <f>wyniki!K143</f>
        <v>0</v>
      </c>
      <c r="D118" s="18">
        <v>-1.17E-3</v>
      </c>
      <c r="E118" s="56" t="b">
        <f t="shared" si="5"/>
        <v>0</v>
      </c>
      <c r="F118">
        <f>wyniki!$A$140</f>
        <v>0</v>
      </c>
      <c r="G118" s="56">
        <f t="shared" si="6"/>
        <v>0</v>
      </c>
      <c r="J118" s="79" t="e">
        <f t="shared" si="7"/>
        <v>#NUM!</v>
      </c>
      <c r="K118" s="61" t="e">
        <f>-LARGE($E$2:$E$241,117)</f>
        <v>#NUM!</v>
      </c>
      <c r="L118" s="59" t="e">
        <f t="shared" si="9"/>
        <v>#NUM!</v>
      </c>
      <c r="M118" s="90" t="e">
        <f t="shared" si="8"/>
        <v>#NUM!</v>
      </c>
      <c r="N118" s="37">
        <v>117</v>
      </c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</row>
    <row r="119" spans="2:31" ht="17.25" thickTop="1" thickBot="1">
      <c r="B119">
        <f>wyniki!B144</f>
        <v>0</v>
      </c>
      <c r="C119" s="56">
        <f>wyniki!K144</f>
        <v>0</v>
      </c>
      <c r="D119" s="18">
        <v>-1.1800000000000001E-3</v>
      </c>
      <c r="E119" s="56" t="b">
        <f t="shared" si="5"/>
        <v>0</v>
      </c>
      <c r="F119">
        <f>wyniki!$A$140</f>
        <v>0</v>
      </c>
      <c r="G119" s="56">
        <f t="shared" si="6"/>
        <v>0</v>
      </c>
      <c r="J119" s="79" t="e">
        <f t="shared" si="7"/>
        <v>#NUM!</v>
      </c>
      <c r="K119" s="61" t="e">
        <f>-LARGE($E$2:$E$241,118)</f>
        <v>#NUM!</v>
      </c>
      <c r="L119" s="59" t="e">
        <f t="shared" si="9"/>
        <v>#NUM!</v>
      </c>
      <c r="M119" s="90" t="e">
        <f t="shared" si="8"/>
        <v>#NUM!</v>
      </c>
      <c r="N119" s="37">
        <v>118</v>
      </c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</row>
    <row r="120" spans="2:31" ht="17.25" thickTop="1" thickBot="1">
      <c r="B120">
        <f>wyniki!B145</f>
        <v>0</v>
      </c>
      <c r="C120" s="56">
        <f>wyniki!K145</f>
        <v>0</v>
      </c>
      <c r="D120" s="18">
        <v>-1.1900000000000001E-3</v>
      </c>
      <c r="E120" s="56" t="b">
        <f t="shared" si="5"/>
        <v>0</v>
      </c>
      <c r="F120">
        <f>wyniki!$A$140</f>
        <v>0</v>
      </c>
      <c r="G120" s="56">
        <f t="shared" si="6"/>
        <v>0</v>
      </c>
      <c r="J120" s="79" t="e">
        <f t="shared" si="7"/>
        <v>#NUM!</v>
      </c>
      <c r="K120" s="61" t="e">
        <f>-LARGE($E$2:$E$241,119)</f>
        <v>#NUM!</v>
      </c>
      <c r="L120" s="59" t="e">
        <f t="shared" si="9"/>
        <v>#NUM!</v>
      </c>
      <c r="M120" s="90" t="e">
        <f t="shared" si="8"/>
        <v>#NUM!</v>
      </c>
      <c r="N120" s="37">
        <v>119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</row>
    <row r="121" spans="2:31" ht="17.25" thickTop="1" thickBot="1">
      <c r="B121">
        <f>wyniki!B146</f>
        <v>0</v>
      </c>
      <c r="C121" s="56">
        <f>wyniki!K146</f>
        <v>0</v>
      </c>
      <c r="D121" s="18">
        <v>-1.1999999999999999E-3</v>
      </c>
      <c r="E121" s="56" t="b">
        <f t="shared" si="5"/>
        <v>0</v>
      </c>
      <c r="F121">
        <f>wyniki!$A$140</f>
        <v>0</v>
      </c>
      <c r="G121" s="56">
        <f t="shared" si="6"/>
        <v>0</v>
      </c>
      <c r="J121" s="79" t="e">
        <f t="shared" si="7"/>
        <v>#NUM!</v>
      </c>
      <c r="K121" s="61" t="e">
        <f>-LARGE($E$2:$E$241,120)</f>
        <v>#NUM!</v>
      </c>
      <c r="L121" s="59" t="e">
        <f t="shared" si="9"/>
        <v>#NUM!</v>
      </c>
      <c r="M121" s="90" t="e">
        <f t="shared" si="8"/>
        <v>#NUM!</v>
      </c>
      <c r="N121" s="37">
        <v>120</v>
      </c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spans="2:31" ht="17.25" thickTop="1" thickBot="1">
      <c r="B122">
        <f>wyniki!B148</f>
        <v>0</v>
      </c>
      <c r="C122" s="56">
        <f>wyniki!K148</f>
        <v>0</v>
      </c>
      <c r="D122" s="18">
        <v>-1.2099999999999999E-3</v>
      </c>
      <c r="E122" s="56" t="b">
        <f t="shared" si="5"/>
        <v>0</v>
      </c>
      <c r="F122">
        <f>wyniki!$A$147</f>
        <v>0</v>
      </c>
      <c r="G122" s="56">
        <f t="shared" si="6"/>
        <v>0</v>
      </c>
      <c r="J122" s="79" t="e">
        <f t="shared" si="7"/>
        <v>#NUM!</v>
      </c>
      <c r="K122" s="61" t="e">
        <f>-LARGE($E$2:$E$241,121)</f>
        <v>#NUM!</v>
      </c>
      <c r="L122" s="59" t="e">
        <f t="shared" si="9"/>
        <v>#NUM!</v>
      </c>
      <c r="M122" s="90" t="e">
        <f t="shared" si="8"/>
        <v>#NUM!</v>
      </c>
      <c r="N122" s="37">
        <v>121</v>
      </c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</row>
    <row r="123" spans="2:31" ht="17.25" thickTop="1" thickBot="1">
      <c r="B123">
        <f>wyniki!B149</f>
        <v>0</v>
      </c>
      <c r="C123" s="56">
        <f>wyniki!K149</f>
        <v>0</v>
      </c>
      <c r="D123" s="18">
        <v>-1.2199999999999999E-3</v>
      </c>
      <c r="E123" s="56" t="b">
        <f t="shared" si="5"/>
        <v>0</v>
      </c>
      <c r="F123">
        <f>wyniki!$A$147</f>
        <v>0</v>
      </c>
      <c r="G123" s="56">
        <f t="shared" si="6"/>
        <v>0</v>
      </c>
      <c r="J123" s="79" t="e">
        <f t="shared" si="7"/>
        <v>#NUM!</v>
      </c>
      <c r="K123" s="61" t="e">
        <f>-LARGE($E$2:$E$241,122)</f>
        <v>#NUM!</v>
      </c>
      <c r="L123" s="59" t="e">
        <f t="shared" si="9"/>
        <v>#NUM!</v>
      </c>
      <c r="M123" s="90" t="e">
        <f t="shared" si="8"/>
        <v>#NUM!</v>
      </c>
      <c r="N123" s="37">
        <v>122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</row>
    <row r="124" spans="2:31" ht="17.25" thickTop="1" thickBot="1">
      <c r="B124">
        <f>wyniki!B150</f>
        <v>0</v>
      </c>
      <c r="C124" s="56">
        <f>wyniki!K150</f>
        <v>0</v>
      </c>
      <c r="D124" s="18">
        <v>-1.23E-3</v>
      </c>
      <c r="E124" s="56" t="b">
        <f t="shared" si="5"/>
        <v>0</v>
      </c>
      <c r="F124">
        <f>wyniki!$A$147</f>
        <v>0</v>
      </c>
      <c r="G124" s="56">
        <f t="shared" si="6"/>
        <v>0</v>
      </c>
      <c r="J124" s="79" t="e">
        <f t="shared" si="7"/>
        <v>#NUM!</v>
      </c>
      <c r="K124" s="61" t="e">
        <f>-LARGE($E$2:$E$241,123)</f>
        <v>#NUM!</v>
      </c>
      <c r="L124" s="59" t="e">
        <f t="shared" si="9"/>
        <v>#NUM!</v>
      </c>
      <c r="M124" s="90" t="e">
        <f t="shared" si="8"/>
        <v>#NUM!</v>
      </c>
      <c r="N124" s="37">
        <v>123</v>
      </c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</row>
    <row r="125" spans="2:31" ht="17.25" thickTop="1" thickBot="1">
      <c r="B125">
        <f>wyniki!B151</f>
        <v>0</v>
      </c>
      <c r="C125" s="56">
        <f>wyniki!K151</f>
        <v>0</v>
      </c>
      <c r="D125" s="18">
        <v>-1.24E-3</v>
      </c>
      <c r="E125" s="56" t="b">
        <f t="shared" si="5"/>
        <v>0</v>
      </c>
      <c r="F125">
        <f>wyniki!$A$147</f>
        <v>0</v>
      </c>
      <c r="G125" s="56">
        <f t="shared" si="6"/>
        <v>0</v>
      </c>
      <c r="J125" s="79" t="e">
        <f t="shared" si="7"/>
        <v>#NUM!</v>
      </c>
      <c r="K125" s="61" t="e">
        <f>-LARGE($E$2:$E$241,124)</f>
        <v>#NUM!</v>
      </c>
      <c r="L125" s="59" t="e">
        <f t="shared" si="9"/>
        <v>#NUM!</v>
      </c>
      <c r="M125" s="90" t="e">
        <f t="shared" si="8"/>
        <v>#NUM!</v>
      </c>
      <c r="N125" s="37">
        <v>124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</row>
    <row r="126" spans="2:31" ht="17.25" thickTop="1" thickBot="1">
      <c r="B126">
        <f>wyniki!B152</f>
        <v>0</v>
      </c>
      <c r="C126" s="56">
        <f>wyniki!K152</f>
        <v>0</v>
      </c>
      <c r="D126" s="18">
        <v>-1.25E-3</v>
      </c>
      <c r="E126" s="56" t="b">
        <f t="shared" si="5"/>
        <v>0</v>
      </c>
      <c r="F126">
        <f>wyniki!$A$147</f>
        <v>0</v>
      </c>
      <c r="G126" s="56">
        <f t="shared" si="6"/>
        <v>0</v>
      </c>
      <c r="J126" s="79" t="e">
        <f t="shared" si="7"/>
        <v>#NUM!</v>
      </c>
      <c r="K126" s="61" t="e">
        <f>-LARGE($E$2:$E$241,125)</f>
        <v>#NUM!</v>
      </c>
      <c r="L126" s="59" t="e">
        <f t="shared" si="9"/>
        <v>#NUM!</v>
      </c>
      <c r="M126" s="90" t="e">
        <f t="shared" si="8"/>
        <v>#NUM!</v>
      </c>
      <c r="N126" s="37">
        <v>125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</row>
    <row r="127" spans="2:31" ht="17.25" thickTop="1" thickBot="1">
      <c r="B127">
        <f>wyniki!B153</f>
        <v>0</v>
      </c>
      <c r="C127" s="56">
        <f>wyniki!K153</f>
        <v>0</v>
      </c>
      <c r="D127" s="18">
        <v>-1.2600000000000001E-3</v>
      </c>
      <c r="E127" s="56" t="b">
        <f t="shared" si="5"/>
        <v>0</v>
      </c>
      <c r="F127">
        <f>wyniki!$A$147</f>
        <v>0</v>
      </c>
      <c r="G127" s="56">
        <f t="shared" si="6"/>
        <v>0</v>
      </c>
      <c r="J127" s="79" t="e">
        <f t="shared" si="7"/>
        <v>#NUM!</v>
      </c>
      <c r="K127" s="61" t="e">
        <f>-LARGE($E$2:$E$241,126)</f>
        <v>#NUM!</v>
      </c>
      <c r="L127" s="59" t="e">
        <f t="shared" si="9"/>
        <v>#NUM!</v>
      </c>
      <c r="M127" s="90" t="e">
        <f t="shared" si="8"/>
        <v>#NUM!</v>
      </c>
      <c r="N127" s="37">
        <v>126</v>
      </c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</row>
    <row r="128" spans="2:31" ht="17.25" thickTop="1" thickBot="1">
      <c r="B128">
        <f>wyniki!B155</f>
        <v>0</v>
      </c>
      <c r="C128" s="56">
        <f>wyniki!K155</f>
        <v>0</v>
      </c>
      <c r="D128" s="18">
        <v>-1.2700000000000001E-3</v>
      </c>
      <c r="E128" s="56" t="b">
        <f t="shared" si="5"/>
        <v>0</v>
      </c>
      <c r="F128">
        <f>wyniki!$A$154</f>
        <v>0</v>
      </c>
      <c r="G128" s="56">
        <f t="shared" si="6"/>
        <v>0</v>
      </c>
      <c r="J128" s="79" t="e">
        <f t="shared" si="7"/>
        <v>#NUM!</v>
      </c>
      <c r="K128" s="61" t="e">
        <f>-LARGE($E$2:$E$241,127)</f>
        <v>#NUM!</v>
      </c>
      <c r="L128" s="59" t="e">
        <f t="shared" si="9"/>
        <v>#NUM!</v>
      </c>
      <c r="M128" s="90" t="e">
        <f t="shared" si="8"/>
        <v>#NUM!</v>
      </c>
      <c r="N128" s="37">
        <v>127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</row>
    <row r="129" spans="2:31" ht="17.25" thickTop="1" thickBot="1">
      <c r="B129">
        <f>wyniki!B156</f>
        <v>0</v>
      </c>
      <c r="C129" s="56">
        <f>wyniki!K156</f>
        <v>0</v>
      </c>
      <c r="D129" s="18">
        <v>-1.2800000000000001E-3</v>
      </c>
      <c r="E129" s="56" t="b">
        <f t="shared" si="5"/>
        <v>0</v>
      </c>
      <c r="F129">
        <f>wyniki!$A$154</f>
        <v>0</v>
      </c>
      <c r="G129" s="56">
        <f t="shared" si="6"/>
        <v>0</v>
      </c>
      <c r="J129" s="79" t="e">
        <f t="shared" si="7"/>
        <v>#NUM!</v>
      </c>
      <c r="K129" s="61" t="e">
        <f>-LARGE($E$2:$E$241,128)</f>
        <v>#NUM!</v>
      </c>
      <c r="L129" s="59" t="e">
        <f t="shared" si="9"/>
        <v>#NUM!</v>
      </c>
      <c r="M129" s="90" t="e">
        <f t="shared" si="8"/>
        <v>#NUM!</v>
      </c>
      <c r="N129" s="37">
        <v>128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</row>
    <row r="130" spans="2:31" ht="17.25" thickTop="1" thickBot="1">
      <c r="B130">
        <f>wyniki!B157</f>
        <v>0</v>
      </c>
      <c r="C130" s="56">
        <f>wyniki!K157</f>
        <v>0</v>
      </c>
      <c r="D130" s="18">
        <v>-1.2899999999999999E-3</v>
      </c>
      <c r="E130" s="56" t="b">
        <f t="shared" si="5"/>
        <v>0</v>
      </c>
      <c r="F130">
        <f>wyniki!$A$154</f>
        <v>0</v>
      </c>
      <c r="G130" s="56">
        <f t="shared" si="6"/>
        <v>0</v>
      </c>
      <c r="J130" s="79" t="e">
        <f t="shared" si="7"/>
        <v>#NUM!</v>
      </c>
      <c r="K130" s="61" t="e">
        <f>-LARGE($E$2:$E$241,129)</f>
        <v>#NUM!</v>
      </c>
      <c r="L130" s="59" t="e">
        <f t="shared" si="9"/>
        <v>#NUM!</v>
      </c>
      <c r="M130" s="90" t="e">
        <f t="shared" si="8"/>
        <v>#NUM!</v>
      </c>
      <c r="N130" s="37">
        <v>129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</row>
    <row r="131" spans="2:31" ht="17.25" thickTop="1" thickBot="1">
      <c r="B131">
        <f>wyniki!B158</f>
        <v>0</v>
      </c>
      <c r="C131" s="56">
        <f>wyniki!K158</f>
        <v>0</v>
      </c>
      <c r="D131" s="18">
        <v>-1.2999999999999999E-3</v>
      </c>
      <c r="E131" s="56" t="b">
        <f t="shared" ref="E131:E194" si="10">IF(C131&gt;1,G131+D131)</f>
        <v>0</v>
      </c>
      <c r="F131">
        <f>wyniki!$A$154</f>
        <v>0</v>
      </c>
      <c r="G131" s="56">
        <f t="shared" ref="G131:G194" si="11">-C131</f>
        <v>0</v>
      </c>
      <c r="J131" s="79" t="e">
        <f t="shared" ref="J131:J194" si="12">INDEX($B$2:$E$241,L131,1)</f>
        <v>#NUM!</v>
      </c>
      <c r="K131" s="61" t="e">
        <f>-LARGE($E$2:$E$241,130)</f>
        <v>#NUM!</v>
      </c>
      <c r="L131" s="59" t="e">
        <f t="shared" si="9"/>
        <v>#NUM!</v>
      </c>
      <c r="M131" s="90" t="e">
        <f t="shared" ref="M131:M194" si="13">INDEX($E$2:$F$241,L131,2)</f>
        <v>#NUM!</v>
      </c>
      <c r="N131" s="37">
        <v>130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</row>
    <row r="132" spans="2:31" ht="17.25" thickTop="1" thickBot="1">
      <c r="B132">
        <f>wyniki!B159</f>
        <v>0</v>
      </c>
      <c r="C132" s="56">
        <f>wyniki!K159</f>
        <v>0</v>
      </c>
      <c r="D132" s="18">
        <v>-1.31E-3</v>
      </c>
      <c r="E132" s="56" t="b">
        <f t="shared" si="10"/>
        <v>0</v>
      </c>
      <c r="F132">
        <f>wyniki!$A$154</f>
        <v>0</v>
      </c>
      <c r="G132" s="56">
        <f t="shared" si="11"/>
        <v>0</v>
      </c>
      <c r="J132" s="79" t="e">
        <f t="shared" si="12"/>
        <v>#NUM!</v>
      </c>
      <c r="K132" s="61" t="e">
        <f>-LARGE($E$2:$E$241,131)</f>
        <v>#NUM!</v>
      </c>
      <c r="L132" s="59" t="e">
        <f t="shared" ref="L132:L195" si="14">MATCH(-K132,$E$2:$E$241,0)</f>
        <v>#NUM!</v>
      </c>
      <c r="M132" s="90" t="e">
        <f t="shared" si="13"/>
        <v>#NUM!</v>
      </c>
      <c r="N132" s="37">
        <v>131</v>
      </c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</row>
    <row r="133" spans="2:31" ht="17.25" thickTop="1" thickBot="1">
      <c r="B133">
        <f>wyniki!B160</f>
        <v>0</v>
      </c>
      <c r="C133" s="56">
        <f>wyniki!K160</f>
        <v>0</v>
      </c>
      <c r="D133" s="18">
        <v>-1.32E-3</v>
      </c>
      <c r="E133" s="56" t="b">
        <f t="shared" si="10"/>
        <v>0</v>
      </c>
      <c r="F133">
        <f>wyniki!$A$154</f>
        <v>0</v>
      </c>
      <c r="G133" s="56">
        <f t="shared" si="11"/>
        <v>0</v>
      </c>
      <c r="J133" s="79" t="e">
        <f t="shared" si="12"/>
        <v>#NUM!</v>
      </c>
      <c r="K133" s="61" t="e">
        <f>-LARGE($E$2:$E$241,132)</f>
        <v>#NUM!</v>
      </c>
      <c r="L133" s="59" t="e">
        <f t="shared" si="14"/>
        <v>#NUM!</v>
      </c>
      <c r="M133" s="90" t="e">
        <f t="shared" si="13"/>
        <v>#NUM!</v>
      </c>
      <c r="N133" s="37">
        <v>132</v>
      </c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</row>
    <row r="134" spans="2:31" ht="17.25" thickTop="1" thickBot="1">
      <c r="B134">
        <f>wyniki!B162</f>
        <v>0</v>
      </c>
      <c r="C134" s="56">
        <f>wyniki!K162</f>
        <v>0</v>
      </c>
      <c r="D134" s="18">
        <v>-1.33E-3</v>
      </c>
      <c r="E134" s="56" t="b">
        <f t="shared" si="10"/>
        <v>0</v>
      </c>
      <c r="F134">
        <f>wyniki!$A$161</f>
        <v>0</v>
      </c>
      <c r="G134" s="56">
        <f t="shared" si="11"/>
        <v>0</v>
      </c>
      <c r="J134" s="79" t="e">
        <f t="shared" si="12"/>
        <v>#NUM!</v>
      </c>
      <c r="K134" s="61" t="e">
        <f>-LARGE($E$2:$E$241,133)</f>
        <v>#NUM!</v>
      </c>
      <c r="L134" s="59" t="e">
        <f t="shared" si="14"/>
        <v>#NUM!</v>
      </c>
      <c r="M134" s="90" t="e">
        <f t="shared" si="13"/>
        <v>#NUM!</v>
      </c>
      <c r="N134" s="37">
        <v>133</v>
      </c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</row>
    <row r="135" spans="2:31" ht="17.25" thickTop="1" thickBot="1">
      <c r="B135">
        <f>wyniki!B163</f>
        <v>0</v>
      </c>
      <c r="C135" s="56">
        <f>wyniki!K163</f>
        <v>0</v>
      </c>
      <c r="D135" s="18">
        <v>-1.34E-3</v>
      </c>
      <c r="E135" s="56" t="b">
        <f t="shared" si="10"/>
        <v>0</v>
      </c>
      <c r="F135">
        <f>wyniki!$A$161</f>
        <v>0</v>
      </c>
      <c r="G135" s="56">
        <f t="shared" si="11"/>
        <v>0</v>
      </c>
      <c r="J135" s="79" t="e">
        <f t="shared" si="12"/>
        <v>#NUM!</v>
      </c>
      <c r="K135" s="61" t="e">
        <f>-LARGE($E$2:$E$241,134)</f>
        <v>#NUM!</v>
      </c>
      <c r="L135" s="59" t="e">
        <f t="shared" si="14"/>
        <v>#NUM!</v>
      </c>
      <c r="M135" s="90" t="e">
        <f t="shared" si="13"/>
        <v>#NUM!</v>
      </c>
      <c r="N135" s="37">
        <v>134</v>
      </c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</row>
    <row r="136" spans="2:31" ht="17.25" thickTop="1" thickBot="1">
      <c r="B136">
        <f>wyniki!B164</f>
        <v>0</v>
      </c>
      <c r="C136" s="56">
        <f>wyniki!K164</f>
        <v>0</v>
      </c>
      <c r="D136" s="18">
        <v>-1.3500000000000001E-3</v>
      </c>
      <c r="E136" s="56" t="b">
        <f t="shared" si="10"/>
        <v>0</v>
      </c>
      <c r="F136">
        <f>wyniki!$A$161</f>
        <v>0</v>
      </c>
      <c r="G136" s="56">
        <f t="shared" si="11"/>
        <v>0</v>
      </c>
      <c r="J136" s="79" t="e">
        <f t="shared" si="12"/>
        <v>#NUM!</v>
      </c>
      <c r="K136" s="61" t="e">
        <f>-LARGE($E$2:$E$241,135)</f>
        <v>#NUM!</v>
      </c>
      <c r="L136" s="59" t="e">
        <f t="shared" si="14"/>
        <v>#NUM!</v>
      </c>
      <c r="M136" s="90" t="e">
        <f t="shared" si="13"/>
        <v>#NUM!</v>
      </c>
      <c r="N136" s="37">
        <v>135</v>
      </c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</row>
    <row r="137" spans="2:31" ht="17.25" thickTop="1" thickBot="1">
      <c r="B137">
        <f>wyniki!B165</f>
        <v>0</v>
      </c>
      <c r="C137" s="56">
        <f>wyniki!K165</f>
        <v>0</v>
      </c>
      <c r="D137" s="18">
        <v>-1.3600000000000001E-3</v>
      </c>
      <c r="E137" s="56" t="b">
        <f t="shared" si="10"/>
        <v>0</v>
      </c>
      <c r="F137">
        <f>wyniki!$A$161</f>
        <v>0</v>
      </c>
      <c r="G137" s="56">
        <f t="shared" si="11"/>
        <v>0</v>
      </c>
      <c r="J137" s="79" t="e">
        <f t="shared" si="12"/>
        <v>#NUM!</v>
      </c>
      <c r="K137" s="61" t="e">
        <f>-LARGE($E$2:$E$241,136)</f>
        <v>#NUM!</v>
      </c>
      <c r="L137" s="59" t="e">
        <f t="shared" si="14"/>
        <v>#NUM!</v>
      </c>
      <c r="M137" s="90" t="e">
        <f t="shared" si="13"/>
        <v>#NUM!</v>
      </c>
      <c r="N137" s="37">
        <v>136</v>
      </c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</row>
    <row r="138" spans="2:31" ht="17.25" thickTop="1" thickBot="1">
      <c r="B138">
        <f>wyniki!B166</f>
        <v>0</v>
      </c>
      <c r="C138" s="56">
        <f>wyniki!K166</f>
        <v>0</v>
      </c>
      <c r="D138" s="18">
        <v>-1.3699999999999999E-3</v>
      </c>
      <c r="E138" s="56" t="b">
        <f t="shared" si="10"/>
        <v>0</v>
      </c>
      <c r="F138">
        <f>wyniki!$A$161</f>
        <v>0</v>
      </c>
      <c r="G138" s="56">
        <f t="shared" si="11"/>
        <v>0</v>
      </c>
      <c r="J138" s="79" t="e">
        <f t="shared" si="12"/>
        <v>#NUM!</v>
      </c>
      <c r="K138" s="61" t="e">
        <f>-LARGE($E$2:$E$241,137)</f>
        <v>#NUM!</v>
      </c>
      <c r="L138" s="59" t="e">
        <f t="shared" si="14"/>
        <v>#NUM!</v>
      </c>
      <c r="M138" s="90" t="e">
        <f t="shared" si="13"/>
        <v>#NUM!</v>
      </c>
      <c r="N138" s="37">
        <v>137</v>
      </c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</row>
    <row r="139" spans="2:31" ht="17.25" thickTop="1" thickBot="1">
      <c r="B139">
        <f>wyniki!B167</f>
        <v>0</v>
      </c>
      <c r="C139" s="56">
        <f>wyniki!K167</f>
        <v>0</v>
      </c>
      <c r="D139" s="18">
        <v>-1.3799999999999999E-3</v>
      </c>
      <c r="E139" s="56" t="b">
        <f t="shared" si="10"/>
        <v>0</v>
      </c>
      <c r="F139">
        <f>wyniki!$A$161</f>
        <v>0</v>
      </c>
      <c r="G139" s="56">
        <f t="shared" si="11"/>
        <v>0</v>
      </c>
      <c r="J139" s="79" t="e">
        <f t="shared" si="12"/>
        <v>#NUM!</v>
      </c>
      <c r="K139" s="61" t="e">
        <f>-LARGE($E$2:$E$241,138)</f>
        <v>#NUM!</v>
      </c>
      <c r="L139" s="59" t="e">
        <f t="shared" si="14"/>
        <v>#NUM!</v>
      </c>
      <c r="M139" s="90" t="e">
        <f t="shared" si="13"/>
        <v>#NUM!</v>
      </c>
      <c r="N139" s="37">
        <v>138</v>
      </c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</row>
    <row r="140" spans="2:31" ht="17.25" thickTop="1" thickBot="1">
      <c r="B140">
        <f>wyniki!B169</f>
        <v>0</v>
      </c>
      <c r="C140" s="56">
        <f>wyniki!K169</f>
        <v>0</v>
      </c>
      <c r="D140" s="18">
        <v>-1.39E-3</v>
      </c>
      <c r="E140" s="56" t="b">
        <f t="shared" si="10"/>
        <v>0</v>
      </c>
      <c r="F140">
        <f>wyniki!$A$168</f>
        <v>0</v>
      </c>
      <c r="G140" s="56">
        <f t="shared" si="11"/>
        <v>0</v>
      </c>
      <c r="J140" s="79" t="e">
        <f t="shared" si="12"/>
        <v>#NUM!</v>
      </c>
      <c r="K140" s="61" t="e">
        <f>-LARGE($E$2:$E$241,139)</f>
        <v>#NUM!</v>
      </c>
      <c r="L140" s="59" t="e">
        <f t="shared" si="14"/>
        <v>#NUM!</v>
      </c>
      <c r="M140" s="90" t="e">
        <f t="shared" si="13"/>
        <v>#NUM!</v>
      </c>
      <c r="N140" s="37">
        <v>139</v>
      </c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</row>
    <row r="141" spans="2:31" ht="17.25" thickTop="1" thickBot="1">
      <c r="B141">
        <f>wyniki!B170</f>
        <v>0</v>
      </c>
      <c r="C141" s="56">
        <f>wyniki!K170</f>
        <v>0</v>
      </c>
      <c r="D141" s="18">
        <v>-1.4E-3</v>
      </c>
      <c r="E141" s="56" t="b">
        <f t="shared" si="10"/>
        <v>0</v>
      </c>
      <c r="F141">
        <f>wyniki!$A$168</f>
        <v>0</v>
      </c>
      <c r="G141" s="56">
        <f t="shared" si="11"/>
        <v>0</v>
      </c>
      <c r="J141" s="79" t="e">
        <f t="shared" si="12"/>
        <v>#NUM!</v>
      </c>
      <c r="K141" s="61" t="e">
        <f>-LARGE($E$2:$E$241,140)</f>
        <v>#NUM!</v>
      </c>
      <c r="L141" s="59" t="e">
        <f t="shared" si="14"/>
        <v>#NUM!</v>
      </c>
      <c r="M141" s="90" t="e">
        <f t="shared" si="13"/>
        <v>#NUM!</v>
      </c>
      <c r="N141" s="37">
        <v>140</v>
      </c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</row>
    <row r="142" spans="2:31" ht="17.25" thickTop="1" thickBot="1">
      <c r="B142">
        <f>wyniki!B171</f>
        <v>0</v>
      </c>
      <c r="C142" s="56">
        <f>wyniki!K171</f>
        <v>0</v>
      </c>
      <c r="D142" s="18">
        <v>-1.41E-3</v>
      </c>
      <c r="E142" s="56" t="b">
        <f t="shared" si="10"/>
        <v>0</v>
      </c>
      <c r="F142">
        <f>wyniki!$A$168</f>
        <v>0</v>
      </c>
      <c r="G142" s="56">
        <f t="shared" si="11"/>
        <v>0</v>
      </c>
      <c r="J142" s="79" t="e">
        <f t="shared" si="12"/>
        <v>#NUM!</v>
      </c>
      <c r="K142" s="61" t="e">
        <f>-LARGE($E$2:$E$241,141)</f>
        <v>#NUM!</v>
      </c>
      <c r="L142" s="59" t="e">
        <f t="shared" si="14"/>
        <v>#NUM!</v>
      </c>
      <c r="M142" s="90" t="e">
        <f t="shared" si="13"/>
        <v>#NUM!</v>
      </c>
      <c r="N142" s="37">
        <v>141</v>
      </c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</row>
    <row r="143" spans="2:31" ht="17.25" thickTop="1" thickBot="1">
      <c r="B143">
        <f>wyniki!B172</f>
        <v>0</v>
      </c>
      <c r="C143" s="56">
        <f>wyniki!K172</f>
        <v>0</v>
      </c>
      <c r="D143" s="18">
        <v>-1.42E-3</v>
      </c>
      <c r="E143" s="56" t="b">
        <f t="shared" si="10"/>
        <v>0</v>
      </c>
      <c r="F143">
        <f>wyniki!$A$168</f>
        <v>0</v>
      </c>
      <c r="G143" s="56">
        <f t="shared" si="11"/>
        <v>0</v>
      </c>
      <c r="J143" s="79" t="e">
        <f t="shared" si="12"/>
        <v>#NUM!</v>
      </c>
      <c r="K143" s="61" t="e">
        <f>-LARGE($E$2:$E$241,142)</f>
        <v>#NUM!</v>
      </c>
      <c r="L143" s="59" t="e">
        <f t="shared" si="14"/>
        <v>#NUM!</v>
      </c>
      <c r="M143" s="90" t="e">
        <f t="shared" si="13"/>
        <v>#NUM!</v>
      </c>
      <c r="N143" s="37">
        <v>142</v>
      </c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</row>
    <row r="144" spans="2:31" ht="17.25" thickTop="1" thickBot="1">
      <c r="B144">
        <f>wyniki!B173</f>
        <v>0</v>
      </c>
      <c r="C144" s="56">
        <f>wyniki!K173</f>
        <v>0</v>
      </c>
      <c r="D144" s="18">
        <v>-1.4300000000000001E-3</v>
      </c>
      <c r="E144" s="56" t="b">
        <f t="shared" si="10"/>
        <v>0</v>
      </c>
      <c r="F144">
        <f>wyniki!$A$168</f>
        <v>0</v>
      </c>
      <c r="G144" s="56">
        <f t="shared" si="11"/>
        <v>0</v>
      </c>
      <c r="J144" s="79" t="e">
        <f t="shared" si="12"/>
        <v>#NUM!</v>
      </c>
      <c r="K144" s="61" t="e">
        <f>-LARGE($E$2:$E$241,143)</f>
        <v>#NUM!</v>
      </c>
      <c r="L144" s="59" t="e">
        <f t="shared" si="14"/>
        <v>#NUM!</v>
      </c>
      <c r="M144" s="90" t="e">
        <f t="shared" si="13"/>
        <v>#NUM!</v>
      </c>
      <c r="N144" s="37">
        <v>143</v>
      </c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</row>
    <row r="145" spans="2:31" ht="17.25" thickTop="1" thickBot="1">
      <c r="B145">
        <f>wyniki!B174</f>
        <v>0</v>
      </c>
      <c r="C145" s="56">
        <f>wyniki!K174</f>
        <v>0</v>
      </c>
      <c r="D145" s="18">
        <v>-1.4400000000000001E-3</v>
      </c>
      <c r="E145" s="56" t="b">
        <f t="shared" si="10"/>
        <v>0</v>
      </c>
      <c r="F145">
        <f>wyniki!$A$168</f>
        <v>0</v>
      </c>
      <c r="G145" s="56">
        <f t="shared" si="11"/>
        <v>0</v>
      </c>
      <c r="J145" s="79" t="e">
        <f t="shared" si="12"/>
        <v>#NUM!</v>
      </c>
      <c r="K145" s="61" t="e">
        <f>-LARGE($E$2:$E$241,144)</f>
        <v>#NUM!</v>
      </c>
      <c r="L145" s="59" t="e">
        <f t="shared" si="14"/>
        <v>#NUM!</v>
      </c>
      <c r="M145" s="90" t="e">
        <f t="shared" si="13"/>
        <v>#NUM!</v>
      </c>
      <c r="N145" s="37">
        <v>144</v>
      </c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</row>
    <row r="146" spans="2:31" ht="17.25" thickTop="1" thickBot="1">
      <c r="B146">
        <f>wyniki!B176</f>
        <v>0</v>
      </c>
      <c r="C146" s="56">
        <f>wyniki!K176</f>
        <v>0</v>
      </c>
      <c r="D146" s="18">
        <v>-1.4499999999999999E-3</v>
      </c>
      <c r="E146" s="56" t="b">
        <f t="shared" si="10"/>
        <v>0</v>
      </c>
      <c r="F146">
        <f>wyniki!$A$175</f>
        <v>0</v>
      </c>
      <c r="G146" s="56">
        <f t="shared" si="11"/>
        <v>0</v>
      </c>
      <c r="J146" s="79" t="e">
        <f t="shared" si="12"/>
        <v>#NUM!</v>
      </c>
      <c r="K146" s="61" t="e">
        <f>-LARGE($E$2:$E$241,145)</f>
        <v>#NUM!</v>
      </c>
      <c r="L146" s="59" t="e">
        <f t="shared" si="14"/>
        <v>#NUM!</v>
      </c>
      <c r="M146" s="90" t="e">
        <f t="shared" si="13"/>
        <v>#NUM!</v>
      </c>
      <c r="N146" s="37">
        <v>145</v>
      </c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</row>
    <row r="147" spans="2:31" ht="17.25" thickTop="1" thickBot="1">
      <c r="B147">
        <f>wyniki!B177</f>
        <v>0</v>
      </c>
      <c r="C147" s="56">
        <f>wyniki!K177</f>
        <v>0</v>
      </c>
      <c r="D147" s="18">
        <v>-1.4599999999999999E-3</v>
      </c>
      <c r="E147" s="56" t="b">
        <f t="shared" si="10"/>
        <v>0</v>
      </c>
      <c r="F147">
        <f>wyniki!$A$175</f>
        <v>0</v>
      </c>
      <c r="G147" s="56">
        <f t="shared" si="11"/>
        <v>0</v>
      </c>
      <c r="J147" s="79" t="e">
        <f t="shared" si="12"/>
        <v>#NUM!</v>
      </c>
      <c r="K147" s="61" t="e">
        <f>-LARGE($E$2:$E$241,146)</f>
        <v>#NUM!</v>
      </c>
      <c r="L147" s="59" t="e">
        <f t="shared" si="14"/>
        <v>#NUM!</v>
      </c>
      <c r="M147" s="90" t="e">
        <f t="shared" si="13"/>
        <v>#NUM!</v>
      </c>
      <c r="N147" s="37">
        <v>146</v>
      </c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</row>
    <row r="148" spans="2:31" ht="17.25" thickTop="1" thickBot="1">
      <c r="B148">
        <f>wyniki!B178</f>
        <v>0</v>
      </c>
      <c r="C148" s="56">
        <f>wyniki!K178</f>
        <v>0</v>
      </c>
      <c r="D148" s="18">
        <v>-1.47E-3</v>
      </c>
      <c r="E148" s="56" t="b">
        <f t="shared" si="10"/>
        <v>0</v>
      </c>
      <c r="F148">
        <f>wyniki!$A$175</f>
        <v>0</v>
      </c>
      <c r="G148" s="56">
        <f t="shared" si="11"/>
        <v>0</v>
      </c>
      <c r="J148" s="79" t="e">
        <f t="shared" si="12"/>
        <v>#NUM!</v>
      </c>
      <c r="K148" s="61" t="e">
        <f>-LARGE($E$2:$E$241,147)</f>
        <v>#NUM!</v>
      </c>
      <c r="L148" s="59" t="e">
        <f t="shared" si="14"/>
        <v>#NUM!</v>
      </c>
      <c r="M148" s="90" t="e">
        <f t="shared" si="13"/>
        <v>#NUM!</v>
      </c>
      <c r="N148" s="37">
        <v>147</v>
      </c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</row>
    <row r="149" spans="2:31" ht="17.25" thickTop="1" thickBot="1">
      <c r="B149">
        <f>wyniki!B179</f>
        <v>0</v>
      </c>
      <c r="C149" s="56">
        <f>wyniki!K179</f>
        <v>0</v>
      </c>
      <c r="D149" s="18">
        <v>-1.48E-3</v>
      </c>
      <c r="E149" s="56" t="b">
        <f t="shared" si="10"/>
        <v>0</v>
      </c>
      <c r="F149">
        <f>wyniki!$A$175</f>
        <v>0</v>
      </c>
      <c r="G149" s="56">
        <f t="shared" si="11"/>
        <v>0</v>
      </c>
      <c r="J149" s="79" t="e">
        <f t="shared" si="12"/>
        <v>#NUM!</v>
      </c>
      <c r="K149" s="61" t="e">
        <f>-LARGE($E$2:$E$241,148)</f>
        <v>#NUM!</v>
      </c>
      <c r="L149" s="59" t="e">
        <f t="shared" si="14"/>
        <v>#NUM!</v>
      </c>
      <c r="M149" s="90" t="e">
        <f t="shared" si="13"/>
        <v>#NUM!</v>
      </c>
      <c r="N149" s="37">
        <v>148</v>
      </c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</row>
    <row r="150" spans="2:31" ht="17.25" thickTop="1" thickBot="1">
      <c r="B150">
        <f>wyniki!B180</f>
        <v>0</v>
      </c>
      <c r="C150" s="56">
        <f>wyniki!K180</f>
        <v>0</v>
      </c>
      <c r="D150" s="18">
        <v>-1.49E-3</v>
      </c>
      <c r="E150" s="56" t="b">
        <f t="shared" si="10"/>
        <v>0</v>
      </c>
      <c r="F150">
        <f>wyniki!$A$175</f>
        <v>0</v>
      </c>
      <c r="G150" s="56">
        <f t="shared" si="11"/>
        <v>0</v>
      </c>
      <c r="J150" s="79" t="e">
        <f t="shared" si="12"/>
        <v>#NUM!</v>
      </c>
      <c r="K150" s="61" t="e">
        <f>-LARGE($E$2:$E$241,149)</f>
        <v>#NUM!</v>
      </c>
      <c r="L150" s="59" t="e">
        <f t="shared" si="14"/>
        <v>#NUM!</v>
      </c>
      <c r="M150" s="90" t="e">
        <f t="shared" si="13"/>
        <v>#NUM!</v>
      </c>
      <c r="N150" s="37">
        <v>149</v>
      </c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</row>
    <row r="151" spans="2:31" ht="17.25" thickTop="1" thickBot="1">
      <c r="B151">
        <f>wyniki!B181</f>
        <v>0</v>
      </c>
      <c r="C151" s="56">
        <f>wyniki!K181</f>
        <v>0</v>
      </c>
      <c r="D151" s="18">
        <v>-1.5E-3</v>
      </c>
      <c r="E151" s="56" t="b">
        <f t="shared" si="10"/>
        <v>0</v>
      </c>
      <c r="F151">
        <f>wyniki!$A$175</f>
        <v>0</v>
      </c>
      <c r="G151" s="56">
        <f t="shared" si="11"/>
        <v>0</v>
      </c>
      <c r="J151" s="79" t="e">
        <f t="shared" si="12"/>
        <v>#NUM!</v>
      </c>
      <c r="K151" s="61" t="e">
        <f>-LARGE($E$2:$E$241,150)</f>
        <v>#NUM!</v>
      </c>
      <c r="L151" s="59" t="e">
        <f t="shared" si="14"/>
        <v>#NUM!</v>
      </c>
      <c r="M151" s="90" t="e">
        <f t="shared" si="13"/>
        <v>#NUM!</v>
      </c>
      <c r="N151" s="37">
        <v>150</v>
      </c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</row>
    <row r="152" spans="2:31" ht="17.25" thickTop="1" thickBot="1">
      <c r="B152">
        <f>wyniki!B183</f>
        <v>0</v>
      </c>
      <c r="C152" s="56">
        <f>wyniki!K183</f>
        <v>0</v>
      </c>
      <c r="D152" s="18">
        <v>-1.5100000000000001E-3</v>
      </c>
      <c r="E152" s="56" t="b">
        <f t="shared" si="10"/>
        <v>0</v>
      </c>
      <c r="F152">
        <f>wyniki!$A$182</f>
        <v>0</v>
      </c>
      <c r="G152" s="56">
        <f t="shared" si="11"/>
        <v>0</v>
      </c>
      <c r="J152" s="79" t="e">
        <f t="shared" si="12"/>
        <v>#NUM!</v>
      </c>
      <c r="K152" s="61" t="e">
        <f>-LARGE($E$2:$E$241,151)</f>
        <v>#NUM!</v>
      </c>
      <c r="L152" s="59" t="e">
        <f t="shared" si="14"/>
        <v>#NUM!</v>
      </c>
      <c r="M152" s="90" t="e">
        <f t="shared" si="13"/>
        <v>#NUM!</v>
      </c>
      <c r="N152" s="37">
        <v>151</v>
      </c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</row>
    <row r="153" spans="2:31" ht="17.25" thickTop="1" thickBot="1">
      <c r="B153">
        <f>wyniki!B184</f>
        <v>0</v>
      </c>
      <c r="C153" s="56">
        <f>wyniki!K184</f>
        <v>0</v>
      </c>
      <c r="D153" s="18">
        <v>-1.5200000000000001E-3</v>
      </c>
      <c r="E153" s="56" t="b">
        <f t="shared" si="10"/>
        <v>0</v>
      </c>
      <c r="F153">
        <f>wyniki!$A$182</f>
        <v>0</v>
      </c>
      <c r="G153" s="56">
        <f t="shared" si="11"/>
        <v>0</v>
      </c>
      <c r="J153" s="79" t="e">
        <f t="shared" si="12"/>
        <v>#NUM!</v>
      </c>
      <c r="K153" s="61" t="e">
        <f>-LARGE($E$2:$E$241,152)</f>
        <v>#NUM!</v>
      </c>
      <c r="L153" s="59" t="e">
        <f t="shared" si="14"/>
        <v>#NUM!</v>
      </c>
      <c r="M153" s="90" t="e">
        <f t="shared" si="13"/>
        <v>#NUM!</v>
      </c>
      <c r="N153" s="37">
        <v>152</v>
      </c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</row>
    <row r="154" spans="2:31" ht="17.25" thickTop="1" thickBot="1">
      <c r="B154">
        <f>wyniki!B185</f>
        <v>0</v>
      </c>
      <c r="C154" s="56">
        <f>wyniki!K185</f>
        <v>0</v>
      </c>
      <c r="D154" s="18">
        <v>-1.5299999999999999E-3</v>
      </c>
      <c r="E154" s="56" t="b">
        <f t="shared" si="10"/>
        <v>0</v>
      </c>
      <c r="F154">
        <f>wyniki!$A$182</f>
        <v>0</v>
      </c>
      <c r="G154" s="56">
        <f t="shared" si="11"/>
        <v>0</v>
      </c>
      <c r="J154" s="79" t="e">
        <f t="shared" si="12"/>
        <v>#NUM!</v>
      </c>
      <c r="K154" s="61" t="e">
        <f>-LARGE($E$2:$E$241,153)</f>
        <v>#NUM!</v>
      </c>
      <c r="L154" s="59" t="e">
        <f t="shared" si="14"/>
        <v>#NUM!</v>
      </c>
      <c r="M154" s="90" t="e">
        <f t="shared" si="13"/>
        <v>#NUM!</v>
      </c>
      <c r="N154" s="37">
        <v>153</v>
      </c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</row>
    <row r="155" spans="2:31" ht="17.25" thickTop="1" thickBot="1">
      <c r="B155">
        <f>wyniki!B186</f>
        <v>0</v>
      </c>
      <c r="C155" s="56">
        <f>wyniki!K186</f>
        <v>0</v>
      </c>
      <c r="D155" s="18">
        <v>-1.5399999999999999E-3</v>
      </c>
      <c r="E155" s="56" t="b">
        <f t="shared" si="10"/>
        <v>0</v>
      </c>
      <c r="F155">
        <f>wyniki!$A$182</f>
        <v>0</v>
      </c>
      <c r="G155" s="56">
        <f t="shared" si="11"/>
        <v>0</v>
      </c>
      <c r="J155" s="79" t="e">
        <f t="shared" si="12"/>
        <v>#NUM!</v>
      </c>
      <c r="K155" s="61" t="e">
        <f>-LARGE($E$2:$E$241,154)</f>
        <v>#NUM!</v>
      </c>
      <c r="L155" s="59" t="e">
        <f t="shared" si="14"/>
        <v>#NUM!</v>
      </c>
      <c r="M155" s="90" t="e">
        <f t="shared" si="13"/>
        <v>#NUM!</v>
      </c>
      <c r="N155" s="37">
        <v>154</v>
      </c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</row>
    <row r="156" spans="2:31" ht="17.25" thickTop="1" thickBot="1">
      <c r="B156">
        <f>wyniki!B187</f>
        <v>0</v>
      </c>
      <c r="C156" s="56">
        <f>wyniki!K187</f>
        <v>0</v>
      </c>
      <c r="D156" s="18">
        <v>-1.5499999999999999E-3</v>
      </c>
      <c r="E156" s="56" t="b">
        <f t="shared" si="10"/>
        <v>0</v>
      </c>
      <c r="F156">
        <f>wyniki!$A$182</f>
        <v>0</v>
      </c>
      <c r="G156" s="56">
        <f t="shared" si="11"/>
        <v>0</v>
      </c>
      <c r="J156" s="79" t="e">
        <f t="shared" si="12"/>
        <v>#NUM!</v>
      </c>
      <c r="K156" s="61" t="e">
        <f>-LARGE($E$2:$E$241,155)</f>
        <v>#NUM!</v>
      </c>
      <c r="L156" s="59" t="e">
        <f t="shared" si="14"/>
        <v>#NUM!</v>
      </c>
      <c r="M156" s="90" t="e">
        <f t="shared" si="13"/>
        <v>#NUM!</v>
      </c>
      <c r="N156" s="37">
        <v>155</v>
      </c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</row>
    <row r="157" spans="2:31" ht="17.25" thickTop="1" thickBot="1">
      <c r="B157">
        <f>wyniki!B188</f>
        <v>0</v>
      </c>
      <c r="C157" s="56">
        <f>wyniki!K188</f>
        <v>0</v>
      </c>
      <c r="D157" s="18">
        <v>-1.56E-3</v>
      </c>
      <c r="E157" s="56" t="b">
        <f t="shared" si="10"/>
        <v>0</v>
      </c>
      <c r="F157">
        <f>wyniki!$A$182</f>
        <v>0</v>
      </c>
      <c r="G157" s="56">
        <f t="shared" si="11"/>
        <v>0</v>
      </c>
      <c r="J157" s="79" t="e">
        <f t="shared" si="12"/>
        <v>#NUM!</v>
      </c>
      <c r="K157" s="61" t="e">
        <f>-LARGE($E$2:$E$241,156)</f>
        <v>#NUM!</v>
      </c>
      <c r="L157" s="59" t="e">
        <f t="shared" si="14"/>
        <v>#NUM!</v>
      </c>
      <c r="M157" s="90" t="e">
        <f t="shared" si="13"/>
        <v>#NUM!</v>
      </c>
      <c r="N157" s="37">
        <v>156</v>
      </c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</row>
    <row r="158" spans="2:31" ht="17.25" thickTop="1" thickBot="1">
      <c r="B158">
        <f>wyniki!B190</f>
        <v>0</v>
      </c>
      <c r="C158" s="56">
        <f>wyniki!K190</f>
        <v>0</v>
      </c>
      <c r="D158" s="18">
        <v>-1.57E-3</v>
      </c>
      <c r="E158" s="56" t="b">
        <f t="shared" si="10"/>
        <v>0</v>
      </c>
      <c r="F158">
        <f>wyniki!$A$189</f>
        <v>0</v>
      </c>
      <c r="G158" s="56">
        <f t="shared" si="11"/>
        <v>0</v>
      </c>
      <c r="J158" s="79" t="e">
        <f t="shared" si="12"/>
        <v>#NUM!</v>
      </c>
      <c r="K158" s="61" t="e">
        <f>-LARGE($E$2:$E$241,157)</f>
        <v>#NUM!</v>
      </c>
      <c r="L158" s="59" t="e">
        <f t="shared" si="14"/>
        <v>#NUM!</v>
      </c>
      <c r="M158" s="90" t="e">
        <f t="shared" si="13"/>
        <v>#NUM!</v>
      </c>
      <c r="N158" s="37">
        <v>157</v>
      </c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</row>
    <row r="159" spans="2:31" ht="17.25" thickTop="1" thickBot="1">
      <c r="B159">
        <f>wyniki!B191</f>
        <v>0</v>
      </c>
      <c r="C159" s="56">
        <f>wyniki!K191</f>
        <v>0</v>
      </c>
      <c r="D159" s="18">
        <v>-1.58E-3</v>
      </c>
      <c r="E159" s="56" t="b">
        <f t="shared" si="10"/>
        <v>0</v>
      </c>
      <c r="F159">
        <f>wyniki!$A$189</f>
        <v>0</v>
      </c>
      <c r="G159" s="56">
        <f t="shared" si="11"/>
        <v>0</v>
      </c>
      <c r="J159" s="79" t="e">
        <f t="shared" si="12"/>
        <v>#NUM!</v>
      </c>
      <c r="K159" s="61" t="e">
        <f>-LARGE($E$2:$E$241,158)</f>
        <v>#NUM!</v>
      </c>
      <c r="L159" s="59" t="e">
        <f t="shared" si="14"/>
        <v>#NUM!</v>
      </c>
      <c r="M159" s="90" t="e">
        <f t="shared" si="13"/>
        <v>#NUM!</v>
      </c>
      <c r="N159" s="37">
        <v>158</v>
      </c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</row>
    <row r="160" spans="2:31" ht="17.25" thickTop="1" thickBot="1">
      <c r="B160">
        <f>wyniki!B192</f>
        <v>0</v>
      </c>
      <c r="C160" s="56">
        <f>wyniki!K192</f>
        <v>0</v>
      </c>
      <c r="D160" s="18">
        <v>-1.5900000000000001E-3</v>
      </c>
      <c r="E160" s="56" t="b">
        <f t="shared" si="10"/>
        <v>0</v>
      </c>
      <c r="F160">
        <f>wyniki!$A$189</f>
        <v>0</v>
      </c>
      <c r="G160" s="56">
        <f t="shared" si="11"/>
        <v>0</v>
      </c>
      <c r="J160" s="79" t="e">
        <f t="shared" si="12"/>
        <v>#NUM!</v>
      </c>
      <c r="K160" s="61" t="e">
        <f>-LARGE($E$2:$E$241,159)</f>
        <v>#NUM!</v>
      </c>
      <c r="L160" s="59" t="e">
        <f t="shared" si="14"/>
        <v>#NUM!</v>
      </c>
      <c r="M160" s="90" t="e">
        <f t="shared" si="13"/>
        <v>#NUM!</v>
      </c>
      <c r="N160" s="37">
        <v>159</v>
      </c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</row>
    <row r="161" spans="2:31" ht="17.25" thickTop="1" thickBot="1">
      <c r="B161">
        <f>wyniki!B193</f>
        <v>0</v>
      </c>
      <c r="C161" s="56">
        <f>wyniki!K193</f>
        <v>0</v>
      </c>
      <c r="D161" s="18">
        <v>-1.6000000000000001E-3</v>
      </c>
      <c r="E161" s="56" t="b">
        <f t="shared" si="10"/>
        <v>0</v>
      </c>
      <c r="F161">
        <f>wyniki!$A$189</f>
        <v>0</v>
      </c>
      <c r="G161" s="56">
        <f t="shared" si="11"/>
        <v>0</v>
      </c>
      <c r="J161" s="79" t="e">
        <f t="shared" si="12"/>
        <v>#NUM!</v>
      </c>
      <c r="K161" s="61" t="e">
        <f>-LARGE($E$2:$E$241,160)</f>
        <v>#NUM!</v>
      </c>
      <c r="L161" s="59" t="e">
        <f t="shared" si="14"/>
        <v>#NUM!</v>
      </c>
      <c r="M161" s="90" t="e">
        <f t="shared" si="13"/>
        <v>#NUM!</v>
      </c>
      <c r="N161" s="37">
        <v>160</v>
      </c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</row>
    <row r="162" spans="2:31" ht="17.25" thickTop="1" thickBot="1">
      <c r="B162">
        <f>wyniki!B194</f>
        <v>0</v>
      </c>
      <c r="C162" s="56">
        <f>wyniki!K194</f>
        <v>0</v>
      </c>
      <c r="D162" s="18">
        <v>-1.6100000000000001E-3</v>
      </c>
      <c r="E162" s="56" t="b">
        <f t="shared" si="10"/>
        <v>0</v>
      </c>
      <c r="F162">
        <f>wyniki!$A$189</f>
        <v>0</v>
      </c>
      <c r="G162" s="56">
        <f t="shared" si="11"/>
        <v>0</v>
      </c>
      <c r="J162" s="79" t="e">
        <f t="shared" si="12"/>
        <v>#NUM!</v>
      </c>
      <c r="K162" s="61" t="e">
        <f>-LARGE($E$2:$E$241,161)</f>
        <v>#NUM!</v>
      </c>
      <c r="L162" s="59" t="e">
        <f t="shared" si="14"/>
        <v>#NUM!</v>
      </c>
      <c r="M162" s="90" t="e">
        <f t="shared" si="13"/>
        <v>#NUM!</v>
      </c>
      <c r="N162" s="37">
        <v>161</v>
      </c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</row>
    <row r="163" spans="2:31" ht="17.25" thickTop="1" thickBot="1">
      <c r="B163">
        <f>wyniki!B195</f>
        <v>0</v>
      </c>
      <c r="C163" s="56">
        <f>wyniki!K195</f>
        <v>0</v>
      </c>
      <c r="D163" s="18">
        <v>-1.6199999999999999E-3</v>
      </c>
      <c r="E163" s="56" t="b">
        <f t="shared" si="10"/>
        <v>0</v>
      </c>
      <c r="F163">
        <f>wyniki!$A$189</f>
        <v>0</v>
      </c>
      <c r="G163" s="56">
        <f t="shared" si="11"/>
        <v>0</v>
      </c>
      <c r="J163" s="79" t="e">
        <f t="shared" si="12"/>
        <v>#NUM!</v>
      </c>
      <c r="K163" s="61" t="e">
        <f>-LARGE($E$2:$E$241,162)</f>
        <v>#NUM!</v>
      </c>
      <c r="L163" s="59" t="e">
        <f t="shared" si="14"/>
        <v>#NUM!</v>
      </c>
      <c r="M163" s="90" t="e">
        <f t="shared" si="13"/>
        <v>#NUM!</v>
      </c>
      <c r="N163" s="37">
        <v>162</v>
      </c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</row>
    <row r="164" spans="2:31" ht="17.25" thickTop="1" thickBot="1">
      <c r="B164">
        <f>wyniki!B197</f>
        <v>0</v>
      </c>
      <c r="C164" s="56">
        <f>wyniki!K197</f>
        <v>0</v>
      </c>
      <c r="D164" s="18">
        <v>-1.6299999999999999E-3</v>
      </c>
      <c r="E164" s="56" t="b">
        <f t="shared" si="10"/>
        <v>0</v>
      </c>
      <c r="F164">
        <f>wyniki!$A$196</f>
        <v>0</v>
      </c>
      <c r="G164" s="56">
        <f t="shared" si="11"/>
        <v>0</v>
      </c>
      <c r="J164" s="79" t="e">
        <f t="shared" si="12"/>
        <v>#NUM!</v>
      </c>
      <c r="K164" s="61" t="e">
        <f>-LARGE($E$2:$E$241,163)</f>
        <v>#NUM!</v>
      </c>
      <c r="L164" s="59" t="e">
        <f t="shared" si="14"/>
        <v>#NUM!</v>
      </c>
      <c r="M164" s="90" t="e">
        <f t="shared" si="13"/>
        <v>#NUM!</v>
      </c>
      <c r="N164" s="37">
        <v>163</v>
      </c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</row>
    <row r="165" spans="2:31" ht="17.25" thickTop="1" thickBot="1">
      <c r="B165">
        <f>wyniki!B198</f>
        <v>0</v>
      </c>
      <c r="C165" s="56">
        <f>wyniki!K198</f>
        <v>0</v>
      </c>
      <c r="D165" s="18">
        <v>-1.64E-3</v>
      </c>
      <c r="E165" s="56" t="b">
        <f t="shared" si="10"/>
        <v>0</v>
      </c>
      <c r="F165">
        <f>wyniki!$A$196</f>
        <v>0</v>
      </c>
      <c r="G165" s="56">
        <f t="shared" si="11"/>
        <v>0</v>
      </c>
      <c r="J165" s="79" t="e">
        <f t="shared" si="12"/>
        <v>#NUM!</v>
      </c>
      <c r="K165" s="61" t="e">
        <f>-LARGE($E$2:$E$241,164)</f>
        <v>#NUM!</v>
      </c>
      <c r="L165" s="59" t="e">
        <f t="shared" si="14"/>
        <v>#NUM!</v>
      </c>
      <c r="M165" s="90" t="e">
        <f t="shared" si="13"/>
        <v>#NUM!</v>
      </c>
      <c r="N165" s="37">
        <v>164</v>
      </c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</row>
    <row r="166" spans="2:31" ht="17.25" thickTop="1" thickBot="1">
      <c r="B166">
        <f>wyniki!B199</f>
        <v>0</v>
      </c>
      <c r="C166" s="56">
        <f>wyniki!K199</f>
        <v>0</v>
      </c>
      <c r="D166" s="18">
        <v>-1.65E-3</v>
      </c>
      <c r="E166" s="56" t="b">
        <f t="shared" si="10"/>
        <v>0</v>
      </c>
      <c r="F166">
        <f>wyniki!$A$196</f>
        <v>0</v>
      </c>
      <c r="G166" s="56">
        <f t="shared" si="11"/>
        <v>0</v>
      </c>
      <c r="J166" s="79" t="e">
        <f t="shared" si="12"/>
        <v>#NUM!</v>
      </c>
      <c r="K166" s="61" t="e">
        <f>-LARGE($E$2:$E$241,165)</f>
        <v>#NUM!</v>
      </c>
      <c r="L166" s="59" t="e">
        <f t="shared" si="14"/>
        <v>#NUM!</v>
      </c>
      <c r="M166" s="90" t="e">
        <f t="shared" si="13"/>
        <v>#NUM!</v>
      </c>
      <c r="N166" s="37">
        <v>165</v>
      </c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</row>
    <row r="167" spans="2:31" ht="17.25" thickTop="1" thickBot="1">
      <c r="B167">
        <f>wyniki!B200</f>
        <v>0</v>
      </c>
      <c r="C167" s="56">
        <f>wyniki!K200</f>
        <v>0</v>
      </c>
      <c r="D167" s="18">
        <v>-1.66E-3</v>
      </c>
      <c r="E167" s="56" t="b">
        <f t="shared" si="10"/>
        <v>0</v>
      </c>
      <c r="F167">
        <f>wyniki!$A$196</f>
        <v>0</v>
      </c>
      <c r="G167" s="56">
        <f t="shared" si="11"/>
        <v>0</v>
      </c>
      <c r="J167" s="79" t="e">
        <f t="shared" si="12"/>
        <v>#NUM!</v>
      </c>
      <c r="K167" s="61" t="e">
        <f>-LARGE($E$2:$E$241,166)</f>
        <v>#NUM!</v>
      </c>
      <c r="L167" s="59" t="e">
        <f t="shared" si="14"/>
        <v>#NUM!</v>
      </c>
      <c r="M167" s="90" t="e">
        <f t="shared" si="13"/>
        <v>#NUM!</v>
      </c>
      <c r="N167" s="37">
        <v>166</v>
      </c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</row>
    <row r="168" spans="2:31" ht="17.25" thickTop="1" thickBot="1">
      <c r="B168">
        <f>wyniki!B201</f>
        <v>0</v>
      </c>
      <c r="C168" s="56">
        <f>wyniki!K201</f>
        <v>0</v>
      </c>
      <c r="D168" s="18">
        <v>-1.67E-3</v>
      </c>
      <c r="E168" s="56" t="b">
        <f t="shared" si="10"/>
        <v>0</v>
      </c>
      <c r="F168">
        <f>wyniki!$A$196</f>
        <v>0</v>
      </c>
      <c r="G168" s="56">
        <f t="shared" si="11"/>
        <v>0</v>
      </c>
      <c r="J168" s="79" t="e">
        <f t="shared" si="12"/>
        <v>#NUM!</v>
      </c>
      <c r="K168" s="61" t="e">
        <f>-LARGE($E$2:$E$241,167)</f>
        <v>#NUM!</v>
      </c>
      <c r="L168" s="59" t="e">
        <f t="shared" si="14"/>
        <v>#NUM!</v>
      </c>
      <c r="M168" s="90" t="e">
        <f t="shared" si="13"/>
        <v>#NUM!</v>
      </c>
      <c r="N168" s="37">
        <v>167</v>
      </c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</row>
    <row r="169" spans="2:31" ht="17.25" thickTop="1" thickBot="1">
      <c r="B169">
        <f>wyniki!B202</f>
        <v>0</v>
      </c>
      <c r="C169" s="56">
        <f>wyniki!K202</f>
        <v>0</v>
      </c>
      <c r="D169" s="18">
        <v>-1.6800000000000001E-3</v>
      </c>
      <c r="E169" s="56" t="b">
        <f t="shared" si="10"/>
        <v>0</v>
      </c>
      <c r="F169">
        <f>wyniki!$A$196</f>
        <v>0</v>
      </c>
      <c r="G169" s="56">
        <f t="shared" si="11"/>
        <v>0</v>
      </c>
      <c r="J169" s="79" t="e">
        <f t="shared" si="12"/>
        <v>#NUM!</v>
      </c>
      <c r="K169" s="61" t="e">
        <f>-LARGE($E$2:$E$241,168)</f>
        <v>#NUM!</v>
      </c>
      <c r="L169" s="59" t="e">
        <f t="shared" si="14"/>
        <v>#NUM!</v>
      </c>
      <c r="M169" s="90" t="e">
        <f t="shared" si="13"/>
        <v>#NUM!</v>
      </c>
      <c r="N169" s="37">
        <v>168</v>
      </c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</row>
    <row r="170" spans="2:31" ht="17.25" thickTop="1" thickBot="1">
      <c r="B170">
        <f>wyniki!B204</f>
        <v>0</v>
      </c>
      <c r="C170" s="56">
        <f>wyniki!K204</f>
        <v>0</v>
      </c>
      <c r="D170" s="18">
        <v>-1.6900000000000001E-3</v>
      </c>
      <c r="E170" s="56" t="b">
        <f t="shared" si="10"/>
        <v>0</v>
      </c>
      <c r="F170">
        <f>wyniki!$A$203</f>
        <v>0</v>
      </c>
      <c r="G170" s="56">
        <f t="shared" si="11"/>
        <v>0</v>
      </c>
      <c r="J170" s="79" t="e">
        <f t="shared" si="12"/>
        <v>#NUM!</v>
      </c>
      <c r="K170" s="61" t="e">
        <f>-LARGE($E$2:$E$241,169)</f>
        <v>#NUM!</v>
      </c>
      <c r="L170" s="59" t="e">
        <f t="shared" si="14"/>
        <v>#NUM!</v>
      </c>
      <c r="M170" s="90" t="e">
        <f t="shared" si="13"/>
        <v>#NUM!</v>
      </c>
      <c r="N170" s="37">
        <v>169</v>
      </c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</row>
    <row r="171" spans="2:31" ht="17.25" thickTop="1" thickBot="1">
      <c r="B171">
        <f>wyniki!B205</f>
        <v>0</v>
      </c>
      <c r="C171" s="56">
        <f>wyniki!K205</f>
        <v>0</v>
      </c>
      <c r="D171" s="18">
        <v>-1.6999999999999999E-3</v>
      </c>
      <c r="E171" s="56" t="b">
        <f t="shared" si="10"/>
        <v>0</v>
      </c>
      <c r="F171">
        <f>wyniki!$A$203</f>
        <v>0</v>
      </c>
      <c r="G171" s="56">
        <f t="shared" si="11"/>
        <v>0</v>
      </c>
      <c r="J171" s="79" t="e">
        <f t="shared" si="12"/>
        <v>#NUM!</v>
      </c>
      <c r="K171" s="61" t="e">
        <f>-LARGE($E$2:$E$241,170)</f>
        <v>#NUM!</v>
      </c>
      <c r="L171" s="59" t="e">
        <f t="shared" si="14"/>
        <v>#NUM!</v>
      </c>
      <c r="M171" s="90" t="e">
        <f t="shared" si="13"/>
        <v>#NUM!</v>
      </c>
      <c r="N171" s="37">
        <v>170</v>
      </c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</row>
    <row r="172" spans="2:31" ht="17.25" thickTop="1" thickBot="1">
      <c r="B172">
        <f>wyniki!B206</f>
        <v>0</v>
      </c>
      <c r="C172" s="56">
        <f>wyniki!K206</f>
        <v>0</v>
      </c>
      <c r="D172" s="18">
        <v>-1.7099999999999999E-3</v>
      </c>
      <c r="E172" s="56" t="b">
        <f t="shared" si="10"/>
        <v>0</v>
      </c>
      <c r="F172">
        <f>wyniki!$A$203</f>
        <v>0</v>
      </c>
      <c r="G172" s="56">
        <f t="shared" si="11"/>
        <v>0</v>
      </c>
      <c r="J172" s="79" t="e">
        <f t="shared" si="12"/>
        <v>#NUM!</v>
      </c>
      <c r="K172" s="61" t="e">
        <f>-LARGE($E$2:$E$241,171)</f>
        <v>#NUM!</v>
      </c>
      <c r="L172" s="59" t="e">
        <f t="shared" si="14"/>
        <v>#NUM!</v>
      </c>
      <c r="M172" s="90" t="e">
        <f t="shared" si="13"/>
        <v>#NUM!</v>
      </c>
      <c r="N172" s="37">
        <v>171</v>
      </c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</row>
    <row r="173" spans="2:31" ht="17.25" thickTop="1" thickBot="1">
      <c r="B173">
        <f>wyniki!B207</f>
        <v>0</v>
      </c>
      <c r="C173" s="56">
        <f>wyniki!K207</f>
        <v>0</v>
      </c>
      <c r="D173" s="18">
        <v>-1.72E-3</v>
      </c>
      <c r="E173" s="56" t="b">
        <f t="shared" si="10"/>
        <v>0</v>
      </c>
      <c r="F173">
        <f>wyniki!$A$203</f>
        <v>0</v>
      </c>
      <c r="G173" s="56">
        <f t="shared" si="11"/>
        <v>0</v>
      </c>
      <c r="J173" s="79" t="e">
        <f t="shared" si="12"/>
        <v>#NUM!</v>
      </c>
      <c r="K173" s="61" t="e">
        <f>-LARGE($E$2:$E$241,172)</f>
        <v>#NUM!</v>
      </c>
      <c r="L173" s="59" t="e">
        <f t="shared" si="14"/>
        <v>#NUM!</v>
      </c>
      <c r="M173" s="90" t="e">
        <f t="shared" si="13"/>
        <v>#NUM!</v>
      </c>
      <c r="N173" s="37">
        <v>172</v>
      </c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</row>
    <row r="174" spans="2:31" ht="17.25" thickTop="1" thickBot="1">
      <c r="B174">
        <f>wyniki!B208</f>
        <v>0</v>
      </c>
      <c r="C174" s="56">
        <f>wyniki!K208</f>
        <v>0</v>
      </c>
      <c r="D174" s="18">
        <v>-1.73E-3</v>
      </c>
      <c r="E174" s="56" t="b">
        <f t="shared" si="10"/>
        <v>0</v>
      </c>
      <c r="F174">
        <f>wyniki!$A$203</f>
        <v>0</v>
      </c>
      <c r="G174" s="56">
        <f t="shared" si="11"/>
        <v>0</v>
      </c>
      <c r="J174" s="79" t="e">
        <f t="shared" si="12"/>
        <v>#NUM!</v>
      </c>
      <c r="K174" s="61" t="e">
        <f>-LARGE($E$2:$E$241,173)</f>
        <v>#NUM!</v>
      </c>
      <c r="L174" s="59" t="e">
        <f t="shared" si="14"/>
        <v>#NUM!</v>
      </c>
      <c r="M174" s="90" t="e">
        <f t="shared" si="13"/>
        <v>#NUM!</v>
      </c>
      <c r="N174" s="37">
        <v>173</v>
      </c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</row>
    <row r="175" spans="2:31" ht="17.25" thickTop="1" thickBot="1">
      <c r="B175">
        <f>wyniki!B209</f>
        <v>0</v>
      </c>
      <c r="C175" s="56">
        <f>wyniki!K209</f>
        <v>0</v>
      </c>
      <c r="D175" s="18">
        <v>-1.74E-3</v>
      </c>
      <c r="E175" s="56" t="b">
        <f t="shared" si="10"/>
        <v>0</v>
      </c>
      <c r="F175">
        <f>wyniki!$A$203</f>
        <v>0</v>
      </c>
      <c r="G175" s="56">
        <f t="shared" si="11"/>
        <v>0</v>
      </c>
      <c r="J175" s="79" t="e">
        <f t="shared" si="12"/>
        <v>#NUM!</v>
      </c>
      <c r="K175" s="61" t="e">
        <f>-LARGE($E$2:$E$241,174)</f>
        <v>#NUM!</v>
      </c>
      <c r="L175" s="59" t="e">
        <f t="shared" si="14"/>
        <v>#NUM!</v>
      </c>
      <c r="M175" s="90" t="e">
        <f t="shared" si="13"/>
        <v>#NUM!</v>
      </c>
      <c r="N175" s="37">
        <v>174</v>
      </c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</row>
    <row r="176" spans="2:31" ht="17.25" thickTop="1" thickBot="1">
      <c r="B176">
        <f>wyniki!B211</f>
        <v>0</v>
      </c>
      <c r="C176" s="56">
        <f>wyniki!K211</f>
        <v>0</v>
      </c>
      <c r="D176" s="18">
        <v>-1.75E-3</v>
      </c>
      <c r="E176" s="56" t="b">
        <f t="shared" si="10"/>
        <v>0</v>
      </c>
      <c r="F176">
        <f>wyniki!$A$210</f>
        <v>0</v>
      </c>
      <c r="G176" s="56">
        <f t="shared" si="11"/>
        <v>0</v>
      </c>
      <c r="J176" s="79" t="e">
        <f t="shared" si="12"/>
        <v>#NUM!</v>
      </c>
      <c r="K176" s="61" t="e">
        <f>-LARGE($E$2:$E$241,175)</f>
        <v>#NUM!</v>
      </c>
      <c r="L176" s="59" t="e">
        <f t="shared" si="14"/>
        <v>#NUM!</v>
      </c>
      <c r="M176" s="90" t="e">
        <f t="shared" si="13"/>
        <v>#NUM!</v>
      </c>
      <c r="N176" s="37">
        <v>175</v>
      </c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</row>
    <row r="177" spans="2:31" ht="17.25" thickTop="1" thickBot="1">
      <c r="B177">
        <f>wyniki!B212</f>
        <v>0</v>
      </c>
      <c r="C177" s="56">
        <f>wyniki!K212</f>
        <v>0</v>
      </c>
      <c r="D177" s="18">
        <v>-1.7600000000000001E-3</v>
      </c>
      <c r="E177" s="56" t="b">
        <f t="shared" si="10"/>
        <v>0</v>
      </c>
      <c r="F177">
        <f>wyniki!$A$210</f>
        <v>0</v>
      </c>
      <c r="G177" s="56">
        <f t="shared" si="11"/>
        <v>0</v>
      </c>
      <c r="J177" s="79" t="e">
        <f t="shared" si="12"/>
        <v>#NUM!</v>
      </c>
      <c r="K177" s="61" t="e">
        <f>-LARGE($E$2:$E$241,176)</f>
        <v>#NUM!</v>
      </c>
      <c r="L177" s="59" t="e">
        <f t="shared" si="14"/>
        <v>#NUM!</v>
      </c>
      <c r="M177" s="90" t="e">
        <f t="shared" si="13"/>
        <v>#NUM!</v>
      </c>
      <c r="N177" s="37">
        <v>176</v>
      </c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</row>
    <row r="178" spans="2:31" ht="17.25" thickTop="1" thickBot="1">
      <c r="B178">
        <f>wyniki!B213</f>
        <v>0</v>
      </c>
      <c r="C178" s="56">
        <f>wyniki!K213</f>
        <v>0</v>
      </c>
      <c r="D178" s="18">
        <v>-1.7700000000000001E-3</v>
      </c>
      <c r="E178" s="56" t="b">
        <f t="shared" si="10"/>
        <v>0</v>
      </c>
      <c r="F178">
        <f>wyniki!$A$210</f>
        <v>0</v>
      </c>
      <c r="G178" s="56">
        <f t="shared" si="11"/>
        <v>0</v>
      </c>
      <c r="J178" s="79" t="e">
        <f t="shared" si="12"/>
        <v>#NUM!</v>
      </c>
      <c r="K178" s="61" t="e">
        <f>-LARGE($E$2:$E$241,177)</f>
        <v>#NUM!</v>
      </c>
      <c r="L178" s="59" t="e">
        <f t="shared" si="14"/>
        <v>#NUM!</v>
      </c>
      <c r="M178" s="90" t="e">
        <f t="shared" si="13"/>
        <v>#NUM!</v>
      </c>
      <c r="N178" s="37">
        <v>177</v>
      </c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</row>
    <row r="179" spans="2:31" ht="17.25" thickTop="1" thickBot="1">
      <c r="B179">
        <f>wyniki!B214</f>
        <v>0</v>
      </c>
      <c r="C179" s="56">
        <f>wyniki!K214</f>
        <v>0</v>
      </c>
      <c r="D179" s="18">
        <v>-1.7799999999999999E-3</v>
      </c>
      <c r="E179" s="56" t="b">
        <f t="shared" si="10"/>
        <v>0</v>
      </c>
      <c r="F179">
        <f>wyniki!$A$210</f>
        <v>0</v>
      </c>
      <c r="G179" s="56">
        <f t="shared" si="11"/>
        <v>0</v>
      </c>
      <c r="J179" s="79" t="e">
        <f t="shared" si="12"/>
        <v>#NUM!</v>
      </c>
      <c r="K179" s="61" t="e">
        <f>-LARGE($E$2:$E$241,178)</f>
        <v>#NUM!</v>
      </c>
      <c r="L179" s="59" t="e">
        <f t="shared" si="14"/>
        <v>#NUM!</v>
      </c>
      <c r="M179" s="90" t="e">
        <f t="shared" si="13"/>
        <v>#NUM!</v>
      </c>
      <c r="N179" s="37">
        <v>178</v>
      </c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</row>
    <row r="180" spans="2:31" ht="17.25" thickTop="1" thickBot="1">
      <c r="B180">
        <f>wyniki!B215</f>
        <v>0</v>
      </c>
      <c r="C180" s="56">
        <f>wyniki!K215</f>
        <v>0</v>
      </c>
      <c r="D180" s="18">
        <v>-1.7899999999999999E-3</v>
      </c>
      <c r="E180" s="56" t="b">
        <f t="shared" si="10"/>
        <v>0</v>
      </c>
      <c r="F180">
        <f>wyniki!$A$210</f>
        <v>0</v>
      </c>
      <c r="G180" s="56">
        <f t="shared" si="11"/>
        <v>0</v>
      </c>
      <c r="J180" s="79" t="e">
        <f t="shared" si="12"/>
        <v>#NUM!</v>
      </c>
      <c r="K180" s="61" t="e">
        <f>-LARGE($E$2:$E$241,179)</f>
        <v>#NUM!</v>
      </c>
      <c r="L180" s="59" t="e">
        <f t="shared" si="14"/>
        <v>#NUM!</v>
      </c>
      <c r="M180" s="90" t="e">
        <f t="shared" si="13"/>
        <v>#NUM!</v>
      </c>
      <c r="N180" s="37">
        <v>179</v>
      </c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</row>
    <row r="181" spans="2:31" ht="17.25" thickTop="1" thickBot="1">
      <c r="B181">
        <f>wyniki!B216</f>
        <v>0</v>
      </c>
      <c r="C181" s="56">
        <f>wyniki!K216</f>
        <v>0</v>
      </c>
      <c r="D181" s="18">
        <v>-1.8E-3</v>
      </c>
      <c r="E181" s="56" t="b">
        <f t="shared" si="10"/>
        <v>0</v>
      </c>
      <c r="F181">
        <f>wyniki!$A$210</f>
        <v>0</v>
      </c>
      <c r="G181" s="56">
        <f t="shared" si="11"/>
        <v>0</v>
      </c>
      <c r="J181" s="79" t="e">
        <f t="shared" si="12"/>
        <v>#NUM!</v>
      </c>
      <c r="K181" s="61" t="e">
        <f>-LARGE($E$2:$E$241,180)</f>
        <v>#NUM!</v>
      </c>
      <c r="L181" s="59" t="e">
        <f t="shared" si="14"/>
        <v>#NUM!</v>
      </c>
      <c r="M181" s="90" t="e">
        <f t="shared" si="13"/>
        <v>#NUM!</v>
      </c>
      <c r="N181" s="37">
        <v>180</v>
      </c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</row>
    <row r="182" spans="2:31" ht="17.25" thickTop="1" thickBot="1">
      <c r="B182">
        <f>wyniki!B218</f>
        <v>0</v>
      </c>
      <c r="C182" s="56">
        <f>wyniki!K218</f>
        <v>0</v>
      </c>
      <c r="D182" s="18">
        <v>-1.81E-3</v>
      </c>
      <c r="E182" s="56" t="b">
        <f t="shared" si="10"/>
        <v>0</v>
      </c>
      <c r="F182">
        <f>wyniki!$A$217</f>
        <v>0</v>
      </c>
      <c r="G182" s="56">
        <f t="shared" si="11"/>
        <v>0</v>
      </c>
      <c r="J182" s="79" t="e">
        <f t="shared" si="12"/>
        <v>#NUM!</v>
      </c>
      <c r="K182" s="61" t="e">
        <f>-LARGE($E$2:$E$241,181)</f>
        <v>#NUM!</v>
      </c>
      <c r="L182" s="59" t="e">
        <f t="shared" si="14"/>
        <v>#NUM!</v>
      </c>
      <c r="M182" s="90" t="e">
        <f t="shared" si="13"/>
        <v>#NUM!</v>
      </c>
      <c r="N182" s="37">
        <v>181</v>
      </c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</row>
    <row r="183" spans="2:31" ht="17.25" thickTop="1" thickBot="1">
      <c r="B183">
        <f>wyniki!B219</f>
        <v>0</v>
      </c>
      <c r="C183" s="56">
        <f>wyniki!K219</f>
        <v>0</v>
      </c>
      <c r="D183" s="18">
        <v>-1.82E-3</v>
      </c>
      <c r="E183" s="56" t="b">
        <f t="shared" si="10"/>
        <v>0</v>
      </c>
      <c r="F183">
        <f>wyniki!$A$217</f>
        <v>0</v>
      </c>
      <c r="G183" s="56">
        <f t="shared" si="11"/>
        <v>0</v>
      </c>
      <c r="J183" s="79" t="e">
        <f t="shared" si="12"/>
        <v>#NUM!</v>
      </c>
      <c r="K183" s="61" t="e">
        <f>-LARGE($E$2:$E$241,182)</f>
        <v>#NUM!</v>
      </c>
      <c r="L183" s="59" t="e">
        <f t="shared" si="14"/>
        <v>#NUM!</v>
      </c>
      <c r="M183" s="90" t="e">
        <f t="shared" si="13"/>
        <v>#NUM!</v>
      </c>
      <c r="N183" s="37">
        <v>182</v>
      </c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</row>
    <row r="184" spans="2:31" ht="17.25" thickTop="1" thickBot="1">
      <c r="B184">
        <f>wyniki!B220</f>
        <v>0</v>
      </c>
      <c r="C184" s="56">
        <f>wyniki!K220</f>
        <v>0</v>
      </c>
      <c r="D184" s="18">
        <v>-1.83E-3</v>
      </c>
      <c r="E184" s="56" t="b">
        <f t="shared" si="10"/>
        <v>0</v>
      </c>
      <c r="F184">
        <f>wyniki!$A$217</f>
        <v>0</v>
      </c>
      <c r="G184" s="56">
        <f t="shared" si="11"/>
        <v>0</v>
      </c>
      <c r="J184" s="79" t="e">
        <f t="shared" si="12"/>
        <v>#NUM!</v>
      </c>
      <c r="K184" s="61" t="e">
        <f>-LARGE($E$2:$E$241,183)</f>
        <v>#NUM!</v>
      </c>
      <c r="L184" s="59" t="e">
        <f t="shared" si="14"/>
        <v>#NUM!</v>
      </c>
      <c r="M184" s="90" t="e">
        <f t="shared" si="13"/>
        <v>#NUM!</v>
      </c>
      <c r="N184" s="37">
        <v>183</v>
      </c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</row>
    <row r="185" spans="2:31" ht="17.25" thickTop="1" thickBot="1">
      <c r="B185">
        <f>wyniki!B221</f>
        <v>0</v>
      </c>
      <c r="C185" s="56">
        <f>wyniki!K221</f>
        <v>0</v>
      </c>
      <c r="D185" s="18">
        <v>-1.8400000000000001E-3</v>
      </c>
      <c r="E185" s="56" t="b">
        <f t="shared" si="10"/>
        <v>0</v>
      </c>
      <c r="F185">
        <f>wyniki!$A$217</f>
        <v>0</v>
      </c>
      <c r="G185" s="56">
        <f t="shared" si="11"/>
        <v>0</v>
      </c>
      <c r="J185" s="79" t="e">
        <f t="shared" si="12"/>
        <v>#NUM!</v>
      </c>
      <c r="K185" s="61" t="e">
        <f>-LARGE($E$2:$E$241,184)</f>
        <v>#NUM!</v>
      </c>
      <c r="L185" s="59" t="e">
        <f t="shared" si="14"/>
        <v>#NUM!</v>
      </c>
      <c r="M185" s="90" t="e">
        <f t="shared" si="13"/>
        <v>#NUM!</v>
      </c>
      <c r="N185" s="37">
        <v>184</v>
      </c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</row>
    <row r="186" spans="2:31" ht="17.25" thickTop="1" thickBot="1">
      <c r="B186">
        <f>wyniki!B222</f>
        <v>0</v>
      </c>
      <c r="C186" s="56">
        <f>wyniki!K222</f>
        <v>0</v>
      </c>
      <c r="D186" s="18">
        <v>-1.8500000000000001E-3</v>
      </c>
      <c r="E186" s="56" t="b">
        <f t="shared" si="10"/>
        <v>0</v>
      </c>
      <c r="F186">
        <f>wyniki!$A$217</f>
        <v>0</v>
      </c>
      <c r="G186" s="56">
        <f t="shared" si="11"/>
        <v>0</v>
      </c>
      <c r="J186" s="79" t="e">
        <f t="shared" si="12"/>
        <v>#NUM!</v>
      </c>
      <c r="K186" s="61" t="e">
        <f>-LARGE($E$2:$E$241,185)</f>
        <v>#NUM!</v>
      </c>
      <c r="L186" s="59" t="e">
        <f t="shared" si="14"/>
        <v>#NUM!</v>
      </c>
      <c r="M186" s="90" t="e">
        <f t="shared" si="13"/>
        <v>#NUM!</v>
      </c>
      <c r="N186" s="37">
        <v>185</v>
      </c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</row>
    <row r="187" spans="2:31" ht="17.25" thickTop="1" thickBot="1">
      <c r="B187">
        <f>wyniki!B223</f>
        <v>0</v>
      </c>
      <c r="C187" s="56">
        <f>wyniki!K223</f>
        <v>0</v>
      </c>
      <c r="D187" s="18">
        <v>-1.8600000000000001E-3</v>
      </c>
      <c r="E187" s="56" t="b">
        <f t="shared" si="10"/>
        <v>0</v>
      </c>
      <c r="F187">
        <f>wyniki!$A$217</f>
        <v>0</v>
      </c>
      <c r="G187" s="56">
        <f t="shared" si="11"/>
        <v>0</v>
      </c>
      <c r="J187" s="79" t="e">
        <f t="shared" si="12"/>
        <v>#NUM!</v>
      </c>
      <c r="K187" s="61" t="e">
        <f>-LARGE($E$2:$E$241,186)</f>
        <v>#NUM!</v>
      </c>
      <c r="L187" s="59" t="e">
        <f t="shared" si="14"/>
        <v>#NUM!</v>
      </c>
      <c r="M187" s="90" t="e">
        <f t="shared" si="13"/>
        <v>#NUM!</v>
      </c>
      <c r="N187" s="37">
        <v>186</v>
      </c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</row>
    <row r="188" spans="2:31" ht="17.25" thickTop="1" thickBot="1">
      <c r="B188">
        <f>wyniki!B225</f>
        <v>0</v>
      </c>
      <c r="C188" s="56">
        <f>wyniki!K225</f>
        <v>0</v>
      </c>
      <c r="D188" s="18">
        <v>-1.8699999999999999E-3</v>
      </c>
      <c r="E188" s="56" t="b">
        <f t="shared" si="10"/>
        <v>0</v>
      </c>
      <c r="F188">
        <f>wyniki!$A$224</f>
        <v>0</v>
      </c>
      <c r="G188" s="56">
        <f t="shared" si="11"/>
        <v>0</v>
      </c>
      <c r="J188" s="79" t="e">
        <f t="shared" si="12"/>
        <v>#NUM!</v>
      </c>
      <c r="K188" s="61" t="e">
        <f>-LARGE($E$2:$E$241,187)</f>
        <v>#NUM!</v>
      </c>
      <c r="L188" s="59" t="e">
        <f t="shared" si="14"/>
        <v>#NUM!</v>
      </c>
      <c r="M188" s="90" t="e">
        <f t="shared" si="13"/>
        <v>#NUM!</v>
      </c>
      <c r="N188" s="37">
        <v>187</v>
      </c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</row>
    <row r="189" spans="2:31" ht="17.25" thickTop="1" thickBot="1">
      <c r="B189">
        <f>wyniki!B226</f>
        <v>0</v>
      </c>
      <c r="C189" s="56">
        <f>wyniki!K226</f>
        <v>0</v>
      </c>
      <c r="D189" s="18">
        <v>-1.8799999999999999E-3</v>
      </c>
      <c r="E189" s="56" t="b">
        <f t="shared" si="10"/>
        <v>0</v>
      </c>
      <c r="F189">
        <f>wyniki!$A$224</f>
        <v>0</v>
      </c>
      <c r="G189" s="56">
        <f t="shared" si="11"/>
        <v>0</v>
      </c>
      <c r="J189" s="79" t="e">
        <f t="shared" si="12"/>
        <v>#NUM!</v>
      </c>
      <c r="K189" s="61" t="e">
        <f>-LARGE($E$2:$E$241,188)</f>
        <v>#NUM!</v>
      </c>
      <c r="L189" s="59" t="e">
        <f t="shared" si="14"/>
        <v>#NUM!</v>
      </c>
      <c r="M189" s="90" t="e">
        <f t="shared" si="13"/>
        <v>#NUM!</v>
      </c>
      <c r="N189" s="37">
        <v>188</v>
      </c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</row>
    <row r="190" spans="2:31" ht="17.25" thickTop="1" thickBot="1">
      <c r="B190">
        <f>wyniki!B227</f>
        <v>0</v>
      </c>
      <c r="C190" s="56">
        <f>wyniki!K227</f>
        <v>0</v>
      </c>
      <c r="D190" s="18">
        <v>-1.89E-3</v>
      </c>
      <c r="E190" s="56" t="b">
        <f t="shared" si="10"/>
        <v>0</v>
      </c>
      <c r="F190">
        <f>wyniki!$A$224</f>
        <v>0</v>
      </c>
      <c r="G190" s="56">
        <f t="shared" si="11"/>
        <v>0</v>
      </c>
      <c r="J190" s="79" t="e">
        <f t="shared" si="12"/>
        <v>#NUM!</v>
      </c>
      <c r="K190" s="61" t="e">
        <f>-LARGE($E$2:$E$241,189)</f>
        <v>#NUM!</v>
      </c>
      <c r="L190" s="59" t="e">
        <f t="shared" si="14"/>
        <v>#NUM!</v>
      </c>
      <c r="M190" s="90" t="e">
        <f t="shared" si="13"/>
        <v>#NUM!</v>
      </c>
      <c r="N190" s="37">
        <v>189</v>
      </c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</row>
    <row r="191" spans="2:31" ht="17.25" thickTop="1" thickBot="1">
      <c r="B191">
        <f>wyniki!B228</f>
        <v>0</v>
      </c>
      <c r="C191" s="56">
        <f>wyniki!K228</f>
        <v>0</v>
      </c>
      <c r="D191" s="18">
        <v>-1.9E-3</v>
      </c>
      <c r="E191" s="56" t="b">
        <f t="shared" si="10"/>
        <v>0</v>
      </c>
      <c r="F191">
        <f>wyniki!$A$224</f>
        <v>0</v>
      </c>
      <c r="G191" s="56">
        <f t="shared" si="11"/>
        <v>0</v>
      </c>
      <c r="J191" s="79" t="e">
        <f t="shared" si="12"/>
        <v>#NUM!</v>
      </c>
      <c r="K191" s="61" t="e">
        <f>-LARGE($E$2:$E$241,190)</f>
        <v>#NUM!</v>
      </c>
      <c r="L191" s="59" t="e">
        <f t="shared" si="14"/>
        <v>#NUM!</v>
      </c>
      <c r="M191" s="90" t="e">
        <f t="shared" si="13"/>
        <v>#NUM!</v>
      </c>
      <c r="N191" s="37">
        <v>190</v>
      </c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</row>
    <row r="192" spans="2:31" ht="17.25" thickTop="1" thickBot="1">
      <c r="B192">
        <f>wyniki!B229</f>
        <v>0</v>
      </c>
      <c r="C192" s="56">
        <f>wyniki!K229</f>
        <v>0</v>
      </c>
      <c r="D192" s="18">
        <v>-1.91E-3</v>
      </c>
      <c r="E192" s="56" t="b">
        <f t="shared" si="10"/>
        <v>0</v>
      </c>
      <c r="F192">
        <f>wyniki!$A$224</f>
        <v>0</v>
      </c>
      <c r="G192" s="56">
        <f t="shared" si="11"/>
        <v>0</v>
      </c>
      <c r="J192" s="79" t="e">
        <f t="shared" si="12"/>
        <v>#NUM!</v>
      </c>
      <c r="K192" s="61" t="e">
        <f>-LARGE($E$2:$E$241,191)</f>
        <v>#NUM!</v>
      </c>
      <c r="L192" s="59" t="e">
        <f t="shared" si="14"/>
        <v>#NUM!</v>
      </c>
      <c r="M192" s="90" t="e">
        <f t="shared" si="13"/>
        <v>#NUM!</v>
      </c>
      <c r="N192" s="37">
        <v>191</v>
      </c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</row>
    <row r="193" spans="2:31" ht="17.25" thickTop="1" thickBot="1">
      <c r="B193">
        <f>wyniki!B230</f>
        <v>0</v>
      </c>
      <c r="C193" s="56">
        <f>wyniki!K230</f>
        <v>0</v>
      </c>
      <c r="D193" s="18">
        <v>-1.92E-3</v>
      </c>
      <c r="E193" s="56" t="b">
        <f t="shared" si="10"/>
        <v>0</v>
      </c>
      <c r="F193">
        <f>wyniki!$A$224</f>
        <v>0</v>
      </c>
      <c r="G193" s="56">
        <f t="shared" si="11"/>
        <v>0</v>
      </c>
      <c r="J193" s="79" t="e">
        <f t="shared" si="12"/>
        <v>#NUM!</v>
      </c>
      <c r="K193" s="61" t="e">
        <f>-LARGE($E$2:$E$241,192)</f>
        <v>#NUM!</v>
      </c>
      <c r="L193" s="59" t="e">
        <f t="shared" si="14"/>
        <v>#NUM!</v>
      </c>
      <c r="M193" s="90" t="e">
        <f t="shared" si="13"/>
        <v>#NUM!</v>
      </c>
      <c r="N193" s="37">
        <v>192</v>
      </c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</row>
    <row r="194" spans="2:31" ht="17.25" thickTop="1" thickBot="1">
      <c r="B194">
        <f>wyniki!B232</f>
        <v>0</v>
      </c>
      <c r="C194" s="56">
        <f>wyniki!K232</f>
        <v>0</v>
      </c>
      <c r="D194" s="18">
        <v>-1.9300000000000001E-3</v>
      </c>
      <c r="E194" s="56" t="b">
        <f t="shared" si="10"/>
        <v>0</v>
      </c>
      <c r="F194">
        <f>wyniki!$A$231</f>
        <v>0</v>
      </c>
      <c r="G194" s="56">
        <f t="shared" si="11"/>
        <v>0</v>
      </c>
      <c r="J194" s="79" t="e">
        <f t="shared" si="12"/>
        <v>#NUM!</v>
      </c>
      <c r="K194" s="61" t="e">
        <f>-LARGE($E$2:$E$241,193)</f>
        <v>#NUM!</v>
      </c>
      <c r="L194" s="59" t="e">
        <f t="shared" si="14"/>
        <v>#NUM!</v>
      </c>
      <c r="M194" s="90" t="e">
        <f t="shared" si="13"/>
        <v>#NUM!</v>
      </c>
      <c r="N194" s="37">
        <v>193</v>
      </c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</row>
    <row r="195" spans="2:31" ht="17.25" thickTop="1" thickBot="1">
      <c r="B195">
        <f>wyniki!B233</f>
        <v>0</v>
      </c>
      <c r="C195" s="56">
        <f>wyniki!K233</f>
        <v>0</v>
      </c>
      <c r="D195" s="18">
        <v>-1.9400000000000001E-3</v>
      </c>
      <c r="E195" s="56" t="b">
        <f t="shared" ref="E195:E241" si="15">IF(C195&gt;1,G195+D195)</f>
        <v>0</v>
      </c>
      <c r="F195">
        <f>wyniki!$A$231</f>
        <v>0</v>
      </c>
      <c r="G195" s="56">
        <f t="shared" ref="G195:G241" si="16">-C195</f>
        <v>0</v>
      </c>
      <c r="J195" s="79" t="e">
        <f t="shared" ref="J195:J241" si="17">INDEX($B$2:$E$241,L195,1)</f>
        <v>#NUM!</v>
      </c>
      <c r="K195" s="61" t="e">
        <f>-LARGE($E$2:$E$241,194)</f>
        <v>#NUM!</v>
      </c>
      <c r="L195" s="59" t="e">
        <f t="shared" si="14"/>
        <v>#NUM!</v>
      </c>
      <c r="M195" s="90" t="e">
        <f t="shared" ref="M195:M241" si="18">INDEX($E$2:$F$241,L195,2)</f>
        <v>#NUM!</v>
      </c>
      <c r="N195" s="37">
        <v>194</v>
      </c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</row>
    <row r="196" spans="2:31" ht="17.25" thickTop="1" thickBot="1">
      <c r="B196">
        <f>wyniki!B234</f>
        <v>0</v>
      </c>
      <c r="C196" s="56">
        <f>wyniki!K234</f>
        <v>0</v>
      </c>
      <c r="D196" s="18">
        <v>-1.9499999999999999E-3</v>
      </c>
      <c r="E196" s="56" t="b">
        <f t="shared" si="15"/>
        <v>0</v>
      </c>
      <c r="F196">
        <f>wyniki!$A$231</f>
        <v>0</v>
      </c>
      <c r="G196" s="56">
        <f t="shared" si="16"/>
        <v>0</v>
      </c>
      <c r="J196" s="79" t="e">
        <f t="shared" si="17"/>
        <v>#NUM!</v>
      </c>
      <c r="K196" s="61" t="e">
        <f>-LARGE($E$2:$E$241,195)</f>
        <v>#NUM!</v>
      </c>
      <c r="L196" s="59" t="e">
        <f t="shared" ref="L196:L241" si="19">MATCH(-K196,$E$2:$E$241,0)</f>
        <v>#NUM!</v>
      </c>
      <c r="M196" s="90" t="e">
        <f t="shared" si="18"/>
        <v>#NUM!</v>
      </c>
      <c r="N196" s="37">
        <v>195</v>
      </c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</row>
    <row r="197" spans="2:31" ht="17.25" thickTop="1" thickBot="1">
      <c r="B197">
        <f>wyniki!B235</f>
        <v>0</v>
      </c>
      <c r="C197" s="56">
        <f>wyniki!K235</f>
        <v>0</v>
      </c>
      <c r="D197" s="18">
        <v>-1.9599999999999999E-3</v>
      </c>
      <c r="E197" s="56" t="b">
        <f t="shared" si="15"/>
        <v>0</v>
      </c>
      <c r="F197">
        <f>wyniki!$A$231</f>
        <v>0</v>
      </c>
      <c r="G197" s="56">
        <f t="shared" si="16"/>
        <v>0</v>
      </c>
      <c r="J197" s="79" t="e">
        <f t="shared" si="17"/>
        <v>#NUM!</v>
      </c>
      <c r="K197" s="61" t="e">
        <f>-LARGE($E$2:$E$241,196)</f>
        <v>#NUM!</v>
      </c>
      <c r="L197" s="59" t="e">
        <f t="shared" si="19"/>
        <v>#NUM!</v>
      </c>
      <c r="M197" s="90" t="e">
        <f t="shared" si="18"/>
        <v>#NUM!</v>
      </c>
      <c r="N197" s="37">
        <v>196</v>
      </c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</row>
    <row r="198" spans="2:31" ht="17.25" thickTop="1" thickBot="1">
      <c r="B198">
        <f>wyniki!B236</f>
        <v>0</v>
      </c>
      <c r="C198" s="56">
        <f>wyniki!K236</f>
        <v>0</v>
      </c>
      <c r="D198" s="18">
        <v>-1.97E-3</v>
      </c>
      <c r="E198" s="56" t="b">
        <f t="shared" si="15"/>
        <v>0</v>
      </c>
      <c r="F198">
        <f>wyniki!$A$231</f>
        <v>0</v>
      </c>
      <c r="G198" s="56">
        <f t="shared" si="16"/>
        <v>0</v>
      </c>
      <c r="J198" s="79" t="e">
        <f t="shared" si="17"/>
        <v>#NUM!</v>
      </c>
      <c r="K198" s="61" t="e">
        <f>-LARGE($E$2:$E$241,197)</f>
        <v>#NUM!</v>
      </c>
      <c r="L198" s="59" t="e">
        <f t="shared" si="19"/>
        <v>#NUM!</v>
      </c>
      <c r="M198" s="90" t="e">
        <f t="shared" si="18"/>
        <v>#NUM!</v>
      </c>
      <c r="N198" s="37">
        <v>197</v>
      </c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</row>
    <row r="199" spans="2:31" ht="17.25" thickTop="1" thickBot="1">
      <c r="B199">
        <f>wyniki!B237</f>
        <v>0</v>
      </c>
      <c r="C199" s="56">
        <f>wyniki!K237</f>
        <v>0</v>
      </c>
      <c r="D199" s="18">
        <v>-1.98E-3</v>
      </c>
      <c r="E199" s="56" t="b">
        <f t="shared" si="15"/>
        <v>0</v>
      </c>
      <c r="F199">
        <f>wyniki!$A$231</f>
        <v>0</v>
      </c>
      <c r="G199" s="56">
        <f t="shared" si="16"/>
        <v>0</v>
      </c>
      <c r="J199" s="79" t="e">
        <f t="shared" si="17"/>
        <v>#NUM!</v>
      </c>
      <c r="K199" s="61" t="e">
        <f>-LARGE($E$2:$E$241,198)</f>
        <v>#NUM!</v>
      </c>
      <c r="L199" s="59" t="e">
        <f t="shared" si="19"/>
        <v>#NUM!</v>
      </c>
      <c r="M199" s="90" t="e">
        <f t="shared" si="18"/>
        <v>#NUM!</v>
      </c>
      <c r="N199" s="37">
        <v>198</v>
      </c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</row>
    <row r="200" spans="2:31" ht="17.25" thickTop="1" thickBot="1">
      <c r="B200">
        <f>wyniki!B239</f>
        <v>0</v>
      </c>
      <c r="C200" s="56">
        <f>wyniki!K239</f>
        <v>0</v>
      </c>
      <c r="D200" s="18">
        <v>-1.99E-3</v>
      </c>
      <c r="E200" s="56" t="b">
        <f t="shared" si="15"/>
        <v>0</v>
      </c>
      <c r="F200">
        <f>wyniki!$A$238</f>
        <v>0</v>
      </c>
      <c r="G200" s="56">
        <f t="shared" si="16"/>
        <v>0</v>
      </c>
      <c r="J200" s="79" t="e">
        <f t="shared" si="17"/>
        <v>#NUM!</v>
      </c>
      <c r="K200" s="61" t="e">
        <f>-LARGE($E$2:$E$241,199)</f>
        <v>#NUM!</v>
      </c>
      <c r="L200" s="59" t="e">
        <f t="shared" si="19"/>
        <v>#NUM!</v>
      </c>
      <c r="M200" s="90" t="e">
        <f t="shared" si="18"/>
        <v>#NUM!</v>
      </c>
      <c r="N200" s="37">
        <v>199</v>
      </c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</row>
    <row r="201" spans="2:31" ht="17.25" thickTop="1" thickBot="1">
      <c r="B201">
        <f>wyniki!B240</f>
        <v>0</v>
      </c>
      <c r="C201" s="56">
        <f>wyniki!K240</f>
        <v>0</v>
      </c>
      <c r="D201" s="18">
        <v>-2E-3</v>
      </c>
      <c r="E201" s="56" t="b">
        <f t="shared" si="15"/>
        <v>0</v>
      </c>
      <c r="F201">
        <f>wyniki!$A$238</f>
        <v>0</v>
      </c>
      <c r="G201" s="56">
        <f t="shared" si="16"/>
        <v>0</v>
      </c>
      <c r="J201" s="79" t="e">
        <f t="shared" si="17"/>
        <v>#NUM!</v>
      </c>
      <c r="K201" s="61" t="e">
        <f>-LARGE($E$2:$E$241,200)</f>
        <v>#NUM!</v>
      </c>
      <c r="L201" s="59" t="e">
        <f t="shared" si="19"/>
        <v>#NUM!</v>
      </c>
      <c r="M201" s="90" t="e">
        <f t="shared" si="18"/>
        <v>#NUM!</v>
      </c>
      <c r="N201" s="37">
        <v>200</v>
      </c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</row>
    <row r="202" spans="2:31" ht="17.25" thickTop="1" thickBot="1">
      <c r="B202">
        <f>wyniki!B241</f>
        <v>0</v>
      </c>
      <c r="C202" s="56">
        <f>wyniki!K241</f>
        <v>0</v>
      </c>
      <c r="D202" s="18">
        <v>-2.0100000000000001E-3</v>
      </c>
      <c r="E202" s="56" t="b">
        <f t="shared" si="15"/>
        <v>0</v>
      </c>
      <c r="F202">
        <f>wyniki!$A$238</f>
        <v>0</v>
      </c>
      <c r="G202" s="56">
        <f t="shared" si="16"/>
        <v>0</v>
      </c>
      <c r="J202" s="79" t="e">
        <f t="shared" si="17"/>
        <v>#NUM!</v>
      </c>
      <c r="K202" s="61" t="e">
        <f>-LARGE($E$2:$E$241,201)</f>
        <v>#NUM!</v>
      </c>
      <c r="L202" s="59" t="e">
        <f t="shared" si="19"/>
        <v>#NUM!</v>
      </c>
      <c r="M202" s="90" t="e">
        <f t="shared" si="18"/>
        <v>#NUM!</v>
      </c>
      <c r="N202" s="37">
        <v>201</v>
      </c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</row>
    <row r="203" spans="2:31" ht="17.25" thickTop="1" thickBot="1">
      <c r="B203">
        <f>wyniki!B242</f>
        <v>0</v>
      </c>
      <c r="C203" s="56">
        <f>wyniki!K242</f>
        <v>0</v>
      </c>
      <c r="D203" s="18">
        <v>-2.0200000000000001E-3</v>
      </c>
      <c r="E203" s="56" t="b">
        <f t="shared" si="15"/>
        <v>0</v>
      </c>
      <c r="F203">
        <f>wyniki!$A$238</f>
        <v>0</v>
      </c>
      <c r="G203" s="56">
        <f t="shared" si="16"/>
        <v>0</v>
      </c>
      <c r="J203" s="79" t="e">
        <f t="shared" si="17"/>
        <v>#NUM!</v>
      </c>
      <c r="K203" s="61" t="e">
        <f>-LARGE($E$2:$E$241,202)</f>
        <v>#NUM!</v>
      </c>
      <c r="L203" s="59" t="e">
        <f t="shared" si="19"/>
        <v>#NUM!</v>
      </c>
      <c r="M203" s="90" t="e">
        <f t="shared" si="18"/>
        <v>#NUM!</v>
      </c>
      <c r="N203" s="37">
        <v>202</v>
      </c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</row>
    <row r="204" spans="2:31" ht="17.25" thickTop="1" thickBot="1">
      <c r="B204">
        <f>wyniki!B243</f>
        <v>0</v>
      </c>
      <c r="C204" s="56">
        <f>wyniki!K243</f>
        <v>0</v>
      </c>
      <c r="D204" s="18">
        <v>-2.0300000000000001E-3</v>
      </c>
      <c r="E204" s="56" t="b">
        <f t="shared" si="15"/>
        <v>0</v>
      </c>
      <c r="F204">
        <f>wyniki!$A$238</f>
        <v>0</v>
      </c>
      <c r="G204" s="56">
        <f t="shared" si="16"/>
        <v>0</v>
      </c>
      <c r="J204" s="79" t="e">
        <f t="shared" si="17"/>
        <v>#NUM!</v>
      </c>
      <c r="K204" s="61" t="e">
        <f>-LARGE($E$2:$E$241,203)</f>
        <v>#NUM!</v>
      </c>
      <c r="L204" s="59" t="e">
        <f t="shared" si="19"/>
        <v>#NUM!</v>
      </c>
      <c r="M204" s="90" t="e">
        <f t="shared" si="18"/>
        <v>#NUM!</v>
      </c>
      <c r="N204" s="37">
        <v>203</v>
      </c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</row>
    <row r="205" spans="2:31" ht="17.25" thickTop="1" thickBot="1">
      <c r="B205">
        <f>wyniki!B244</f>
        <v>0</v>
      </c>
      <c r="C205" s="56">
        <f>wyniki!K244</f>
        <v>0</v>
      </c>
      <c r="D205" s="18">
        <v>-2.0400000000000001E-3</v>
      </c>
      <c r="E205" s="56" t="b">
        <f t="shared" si="15"/>
        <v>0</v>
      </c>
      <c r="F205">
        <f>wyniki!$A$238</f>
        <v>0</v>
      </c>
      <c r="G205" s="56">
        <f t="shared" si="16"/>
        <v>0</v>
      </c>
      <c r="J205" s="79" t="e">
        <f t="shared" si="17"/>
        <v>#NUM!</v>
      </c>
      <c r="K205" s="61" t="e">
        <f>-LARGE($E$2:$E$241,204)</f>
        <v>#NUM!</v>
      </c>
      <c r="L205" s="59" t="e">
        <f t="shared" si="19"/>
        <v>#NUM!</v>
      </c>
      <c r="M205" s="90" t="e">
        <f t="shared" si="18"/>
        <v>#NUM!</v>
      </c>
      <c r="N205" s="37">
        <v>204</v>
      </c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</row>
    <row r="206" spans="2:31" ht="17.25" thickTop="1" thickBot="1">
      <c r="B206">
        <f>wyniki!B246</f>
        <v>0</v>
      </c>
      <c r="C206" s="56">
        <f>wyniki!K246</f>
        <v>0</v>
      </c>
      <c r="D206" s="18">
        <v>-2.0500000000000002E-3</v>
      </c>
      <c r="E206" s="56" t="b">
        <f t="shared" si="15"/>
        <v>0</v>
      </c>
      <c r="F206">
        <f>wyniki!$A$245</f>
        <v>0</v>
      </c>
      <c r="G206" s="56">
        <f t="shared" si="16"/>
        <v>0</v>
      </c>
      <c r="J206" s="79" t="e">
        <f t="shared" si="17"/>
        <v>#NUM!</v>
      </c>
      <c r="K206" s="61" t="e">
        <f>-LARGE($E$2:$E$241,205)</f>
        <v>#NUM!</v>
      </c>
      <c r="L206" s="59" t="e">
        <f t="shared" si="19"/>
        <v>#NUM!</v>
      </c>
      <c r="M206" s="90" t="e">
        <f t="shared" si="18"/>
        <v>#NUM!</v>
      </c>
      <c r="N206" s="37">
        <v>205</v>
      </c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</row>
    <row r="207" spans="2:31" ht="17.25" thickTop="1" thickBot="1">
      <c r="B207">
        <f>wyniki!B247</f>
        <v>0</v>
      </c>
      <c r="C207" s="56">
        <f>wyniki!K247</f>
        <v>0</v>
      </c>
      <c r="D207" s="18">
        <v>-2.0600000000000002E-3</v>
      </c>
      <c r="E207" s="56" t="b">
        <f t="shared" si="15"/>
        <v>0</v>
      </c>
      <c r="F207">
        <f>wyniki!$A$245</f>
        <v>0</v>
      </c>
      <c r="G207" s="56">
        <f t="shared" si="16"/>
        <v>0</v>
      </c>
      <c r="J207" s="79" t="e">
        <f t="shared" si="17"/>
        <v>#NUM!</v>
      </c>
      <c r="K207" s="61" t="e">
        <f>-LARGE($E$2:$E$241,206)</f>
        <v>#NUM!</v>
      </c>
      <c r="L207" s="59" t="e">
        <f t="shared" si="19"/>
        <v>#NUM!</v>
      </c>
      <c r="M207" s="90" t="e">
        <f t="shared" si="18"/>
        <v>#NUM!</v>
      </c>
      <c r="N207" s="37">
        <v>206</v>
      </c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</row>
    <row r="208" spans="2:31" ht="17.25" thickTop="1" thickBot="1">
      <c r="B208">
        <f>wyniki!B248</f>
        <v>0</v>
      </c>
      <c r="C208" s="56">
        <f>wyniki!K248</f>
        <v>0</v>
      </c>
      <c r="D208" s="18">
        <v>-2.0699999999999998E-3</v>
      </c>
      <c r="E208" s="56" t="b">
        <f t="shared" si="15"/>
        <v>0</v>
      </c>
      <c r="F208">
        <f>wyniki!$A$245</f>
        <v>0</v>
      </c>
      <c r="G208" s="56">
        <f t="shared" si="16"/>
        <v>0</v>
      </c>
      <c r="J208" s="79" t="e">
        <f t="shared" si="17"/>
        <v>#NUM!</v>
      </c>
      <c r="K208" s="61" t="e">
        <f>-LARGE($E$2:$E$241,207)</f>
        <v>#NUM!</v>
      </c>
      <c r="L208" s="59" t="e">
        <f t="shared" si="19"/>
        <v>#NUM!</v>
      </c>
      <c r="M208" s="90" t="e">
        <f t="shared" si="18"/>
        <v>#NUM!</v>
      </c>
      <c r="N208" s="37">
        <v>207</v>
      </c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</row>
    <row r="209" spans="2:31" ht="17.25" thickTop="1" thickBot="1">
      <c r="B209">
        <f>wyniki!B249</f>
        <v>0</v>
      </c>
      <c r="C209" s="56">
        <f>wyniki!K249</f>
        <v>0</v>
      </c>
      <c r="D209" s="18">
        <v>-2.0799999999999998E-3</v>
      </c>
      <c r="E209" s="56" t="b">
        <f t="shared" si="15"/>
        <v>0</v>
      </c>
      <c r="F209">
        <f>wyniki!$A$245</f>
        <v>0</v>
      </c>
      <c r="G209" s="56">
        <f t="shared" si="16"/>
        <v>0</v>
      </c>
      <c r="J209" s="79" t="e">
        <f t="shared" si="17"/>
        <v>#NUM!</v>
      </c>
      <c r="K209" s="61" t="e">
        <f>-LARGE($E$2:$E$241,208)</f>
        <v>#NUM!</v>
      </c>
      <c r="L209" s="59" t="e">
        <f t="shared" si="19"/>
        <v>#NUM!</v>
      </c>
      <c r="M209" s="90" t="e">
        <f t="shared" si="18"/>
        <v>#NUM!</v>
      </c>
      <c r="N209" s="37">
        <v>208</v>
      </c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</row>
    <row r="210" spans="2:31" ht="17.25" thickTop="1" thickBot="1">
      <c r="B210">
        <f>wyniki!B250</f>
        <v>0</v>
      </c>
      <c r="C210" s="56">
        <f>wyniki!K250</f>
        <v>0</v>
      </c>
      <c r="D210" s="18">
        <v>-2.0899999999999998E-3</v>
      </c>
      <c r="E210" s="56" t="b">
        <f t="shared" si="15"/>
        <v>0</v>
      </c>
      <c r="F210">
        <f>wyniki!$A$245</f>
        <v>0</v>
      </c>
      <c r="G210" s="56">
        <f t="shared" si="16"/>
        <v>0</v>
      </c>
      <c r="J210" s="79" t="e">
        <f t="shared" si="17"/>
        <v>#NUM!</v>
      </c>
      <c r="K210" s="61" t="e">
        <f>-LARGE($E$2:$E$241,209)</f>
        <v>#NUM!</v>
      </c>
      <c r="L210" s="59" t="e">
        <f t="shared" si="19"/>
        <v>#NUM!</v>
      </c>
      <c r="M210" s="90" t="e">
        <f t="shared" si="18"/>
        <v>#NUM!</v>
      </c>
      <c r="N210" s="37">
        <v>209</v>
      </c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</row>
    <row r="211" spans="2:31" ht="17.25" thickTop="1" thickBot="1">
      <c r="B211">
        <f>wyniki!B251</f>
        <v>0</v>
      </c>
      <c r="C211" s="56">
        <f>wyniki!K251</f>
        <v>0</v>
      </c>
      <c r="D211" s="18">
        <v>-2.0999999999999999E-3</v>
      </c>
      <c r="E211" s="56" t="b">
        <f t="shared" si="15"/>
        <v>0</v>
      </c>
      <c r="F211">
        <f>wyniki!$A$245</f>
        <v>0</v>
      </c>
      <c r="G211" s="56">
        <f t="shared" si="16"/>
        <v>0</v>
      </c>
      <c r="J211" s="79" t="e">
        <f t="shared" si="17"/>
        <v>#NUM!</v>
      </c>
      <c r="K211" s="61" t="e">
        <f>-LARGE($E$2:$E$241,210)</f>
        <v>#NUM!</v>
      </c>
      <c r="L211" s="59" t="e">
        <f t="shared" si="19"/>
        <v>#NUM!</v>
      </c>
      <c r="M211" s="90" t="e">
        <f t="shared" si="18"/>
        <v>#NUM!</v>
      </c>
      <c r="N211" s="37">
        <v>210</v>
      </c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</row>
    <row r="212" spans="2:31" ht="17.25" thickTop="1" thickBot="1">
      <c r="B212">
        <f>wyniki!B253</f>
        <v>0</v>
      </c>
      <c r="C212" s="56">
        <f>wyniki!K253</f>
        <v>0</v>
      </c>
      <c r="D212" s="18">
        <v>-2.1099999999999999E-3</v>
      </c>
      <c r="E212" s="56" t="b">
        <f t="shared" si="15"/>
        <v>0</v>
      </c>
      <c r="F212">
        <f>wyniki!$A$252</f>
        <v>0</v>
      </c>
      <c r="G212" s="56">
        <f t="shared" si="16"/>
        <v>0</v>
      </c>
      <c r="J212" s="79" t="e">
        <f t="shared" si="17"/>
        <v>#NUM!</v>
      </c>
      <c r="K212" s="61" t="e">
        <f>-LARGE($E$2:$E$241,211)</f>
        <v>#NUM!</v>
      </c>
      <c r="L212" s="59" t="e">
        <f t="shared" si="19"/>
        <v>#NUM!</v>
      </c>
      <c r="M212" s="90" t="e">
        <f t="shared" si="18"/>
        <v>#NUM!</v>
      </c>
      <c r="N212" s="37">
        <v>211</v>
      </c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</row>
    <row r="213" spans="2:31" ht="17.25" thickTop="1" thickBot="1">
      <c r="B213">
        <f>wyniki!B254</f>
        <v>0</v>
      </c>
      <c r="C213" s="56">
        <f>wyniki!K254</f>
        <v>0</v>
      </c>
      <c r="D213" s="18">
        <v>-2.1199999999999999E-3</v>
      </c>
      <c r="E213" s="56" t="b">
        <f t="shared" si="15"/>
        <v>0</v>
      </c>
      <c r="F213">
        <f>wyniki!$A$252</f>
        <v>0</v>
      </c>
      <c r="G213" s="56">
        <f t="shared" si="16"/>
        <v>0</v>
      </c>
      <c r="J213" s="79" t="e">
        <f t="shared" si="17"/>
        <v>#NUM!</v>
      </c>
      <c r="K213" s="61" t="e">
        <f>-LARGE($E$2:$E$241,212)</f>
        <v>#NUM!</v>
      </c>
      <c r="L213" s="59" t="e">
        <f t="shared" si="19"/>
        <v>#NUM!</v>
      </c>
      <c r="M213" s="90" t="e">
        <f t="shared" si="18"/>
        <v>#NUM!</v>
      </c>
      <c r="N213" s="37">
        <v>212</v>
      </c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</row>
    <row r="214" spans="2:31" ht="17.25" thickTop="1" thickBot="1">
      <c r="B214">
        <f>wyniki!B255</f>
        <v>0</v>
      </c>
      <c r="C214" s="56">
        <f>wyniki!K255</f>
        <v>0</v>
      </c>
      <c r="D214" s="18">
        <v>-2.1299999999999999E-3</v>
      </c>
      <c r="E214" s="56" t="b">
        <f t="shared" si="15"/>
        <v>0</v>
      </c>
      <c r="F214">
        <f>wyniki!$A$252</f>
        <v>0</v>
      </c>
      <c r="G214" s="56">
        <f t="shared" si="16"/>
        <v>0</v>
      </c>
      <c r="J214" s="79" t="e">
        <f t="shared" si="17"/>
        <v>#NUM!</v>
      </c>
      <c r="K214" s="61" t="e">
        <f>-LARGE($E$2:$E$241,213)</f>
        <v>#NUM!</v>
      </c>
      <c r="L214" s="59" t="e">
        <f t="shared" si="19"/>
        <v>#NUM!</v>
      </c>
      <c r="M214" s="90" t="e">
        <f t="shared" si="18"/>
        <v>#NUM!</v>
      </c>
      <c r="N214" s="37">
        <v>213</v>
      </c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</row>
    <row r="215" spans="2:31" ht="17.25" thickTop="1" thickBot="1">
      <c r="B215">
        <f>wyniki!B256</f>
        <v>0</v>
      </c>
      <c r="C215" s="56">
        <f>wyniki!K256</f>
        <v>0</v>
      </c>
      <c r="D215" s="18">
        <v>-2.14E-3</v>
      </c>
      <c r="E215" s="56" t="b">
        <f t="shared" si="15"/>
        <v>0</v>
      </c>
      <c r="F215">
        <f>wyniki!$A$252</f>
        <v>0</v>
      </c>
      <c r="G215" s="56">
        <f t="shared" si="16"/>
        <v>0</v>
      </c>
      <c r="J215" s="79" t="e">
        <f t="shared" si="17"/>
        <v>#NUM!</v>
      </c>
      <c r="K215" s="61" t="e">
        <f>-LARGE($E$2:$E$241,214)</f>
        <v>#NUM!</v>
      </c>
      <c r="L215" s="59" t="e">
        <f t="shared" si="19"/>
        <v>#NUM!</v>
      </c>
      <c r="M215" s="90" t="e">
        <f t="shared" si="18"/>
        <v>#NUM!</v>
      </c>
      <c r="N215" s="37">
        <v>214</v>
      </c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</row>
    <row r="216" spans="2:31" ht="17.25" thickTop="1" thickBot="1">
      <c r="B216">
        <f>wyniki!B257</f>
        <v>0</v>
      </c>
      <c r="C216" s="56">
        <f>wyniki!K257</f>
        <v>0</v>
      </c>
      <c r="D216" s="18">
        <v>-2.15E-3</v>
      </c>
      <c r="E216" s="56" t="b">
        <f t="shared" si="15"/>
        <v>0</v>
      </c>
      <c r="F216">
        <f>wyniki!$A$252</f>
        <v>0</v>
      </c>
      <c r="G216" s="56">
        <f t="shared" si="16"/>
        <v>0</v>
      </c>
      <c r="J216" s="79" t="e">
        <f t="shared" si="17"/>
        <v>#NUM!</v>
      </c>
      <c r="K216" s="61" t="e">
        <f>-LARGE($E$2:$E$241,215)</f>
        <v>#NUM!</v>
      </c>
      <c r="L216" s="59" t="e">
        <f t="shared" si="19"/>
        <v>#NUM!</v>
      </c>
      <c r="M216" s="90" t="e">
        <f t="shared" si="18"/>
        <v>#NUM!</v>
      </c>
      <c r="N216" s="37">
        <v>215</v>
      </c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</row>
    <row r="217" spans="2:31" ht="17.25" thickTop="1" thickBot="1">
      <c r="B217">
        <f>wyniki!B258</f>
        <v>0</v>
      </c>
      <c r="C217" s="56">
        <f>wyniki!K258</f>
        <v>0</v>
      </c>
      <c r="D217" s="18">
        <v>-2.16E-3</v>
      </c>
      <c r="E217" s="56" t="b">
        <f t="shared" si="15"/>
        <v>0</v>
      </c>
      <c r="F217">
        <f>wyniki!$A$252</f>
        <v>0</v>
      </c>
      <c r="G217" s="56">
        <f t="shared" si="16"/>
        <v>0</v>
      </c>
      <c r="J217" s="79" t="e">
        <f t="shared" si="17"/>
        <v>#NUM!</v>
      </c>
      <c r="K217" s="61" t="e">
        <f>-LARGE($E$2:$E$241,216)</f>
        <v>#NUM!</v>
      </c>
      <c r="L217" s="59" t="e">
        <f t="shared" si="19"/>
        <v>#NUM!</v>
      </c>
      <c r="M217" s="90" t="e">
        <f t="shared" si="18"/>
        <v>#NUM!</v>
      </c>
      <c r="N217" s="37">
        <v>216</v>
      </c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</row>
    <row r="218" spans="2:31" ht="17.25" thickTop="1" thickBot="1">
      <c r="B218">
        <f>wyniki!B260</f>
        <v>0</v>
      </c>
      <c r="C218" s="56">
        <f>wyniki!K260</f>
        <v>0</v>
      </c>
      <c r="D218" s="18">
        <v>-2.1700000000000001E-3</v>
      </c>
      <c r="E218" s="56" t="b">
        <f t="shared" si="15"/>
        <v>0</v>
      </c>
      <c r="F218">
        <f>wyniki!$A$259</f>
        <v>0</v>
      </c>
      <c r="G218" s="56">
        <f t="shared" si="16"/>
        <v>0</v>
      </c>
      <c r="J218" s="79" t="e">
        <f t="shared" si="17"/>
        <v>#NUM!</v>
      </c>
      <c r="K218" s="61" t="e">
        <f>-LARGE($E$2:$E$241,217)</f>
        <v>#NUM!</v>
      </c>
      <c r="L218" s="59" t="e">
        <f t="shared" si="19"/>
        <v>#NUM!</v>
      </c>
      <c r="M218" s="90" t="e">
        <f t="shared" si="18"/>
        <v>#NUM!</v>
      </c>
      <c r="N218" s="37">
        <v>217</v>
      </c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</row>
    <row r="219" spans="2:31" ht="17.25" thickTop="1" thickBot="1">
      <c r="B219">
        <f>wyniki!B261</f>
        <v>0</v>
      </c>
      <c r="C219" s="56">
        <f>wyniki!K261</f>
        <v>0</v>
      </c>
      <c r="D219" s="18">
        <v>-2.1800000000000001E-3</v>
      </c>
      <c r="E219" s="56" t="b">
        <f t="shared" si="15"/>
        <v>0</v>
      </c>
      <c r="F219">
        <f>wyniki!$A$259</f>
        <v>0</v>
      </c>
      <c r="G219" s="56">
        <f t="shared" si="16"/>
        <v>0</v>
      </c>
      <c r="J219" s="79" t="e">
        <f t="shared" si="17"/>
        <v>#NUM!</v>
      </c>
      <c r="K219" s="61" t="e">
        <f>-LARGE($E$2:$E$241,218)</f>
        <v>#NUM!</v>
      </c>
      <c r="L219" s="59" t="e">
        <f t="shared" si="19"/>
        <v>#NUM!</v>
      </c>
      <c r="M219" s="90" t="e">
        <f t="shared" si="18"/>
        <v>#NUM!</v>
      </c>
      <c r="N219" s="37">
        <v>218</v>
      </c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</row>
    <row r="220" spans="2:31" ht="17.25" thickTop="1" thickBot="1">
      <c r="B220">
        <f>wyniki!B262</f>
        <v>0</v>
      </c>
      <c r="C220" s="56">
        <f>wyniki!K262</f>
        <v>0</v>
      </c>
      <c r="D220" s="18">
        <v>-2.1900000000000001E-3</v>
      </c>
      <c r="E220" s="56" t="b">
        <f t="shared" si="15"/>
        <v>0</v>
      </c>
      <c r="F220">
        <f>wyniki!$A$259</f>
        <v>0</v>
      </c>
      <c r="G220" s="56">
        <f t="shared" si="16"/>
        <v>0</v>
      </c>
      <c r="J220" s="79" t="e">
        <f t="shared" si="17"/>
        <v>#NUM!</v>
      </c>
      <c r="K220" s="61" t="e">
        <f>-LARGE($E$2:$E$241,219)</f>
        <v>#NUM!</v>
      </c>
      <c r="L220" s="59" t="e">
        <f t="shared" si="19"/>
        <v>#NUM!</v>
      </c>
      <c r="M220" s="90" t="e">
        <f t="shared" si="18"/>
        <v>#NUM!</v>
      </c>
      <c r="N220" s="37">
        <v>219</v>
      </c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</row>
    <row r="221" spans="2:31" ht="17.25" thickTop="1" thickBot="1">
      <c r="B221">
        <f>wyniki!B263</f>
        <v>0</v>
      </c>
      <c r="C221" s="56">
        <f>wyniki!K263</f>
        <v>0</v>
      </c>
      <c r="D221" s="18">
        <v>-2.2000000000000001E-3</v>
      </c>
      <c r="E221" s="56" t="b">
        <f t="shared" si="15"/>
        <v>0</v>
      </c>
      <c r="F221">
        <f>wyniki!$A$259</f>
        <v>0</v>
      </c>
      <c r="G221" s="56">
        <f t="shared" si="16"/>
        <v>0</v>
      </c>
      <c r="J221" s="79" t="e">
        <f t="shared" si="17"/>
        <v>#NUM!</v>
      </c>
      <c r="K221" s="61" t="e">
        <f>-LARGE($E$2:$E$241,220)</f>
        <v>#NUM!</v>
      </c>
      <c r="L221" s="59" t="e">
        <f t="shared" si="19"/>
        <v>#NUM!</v>
      </c>
      <c r="M221" s="90" t="e">
        <f t="shared" si="18"/>
        <v>#NUM!</v>
      </c>
      <c r="N221" s="37">
        <v>220</v>
      </c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</row>
    <row r="222" spans="2:31" ht="17.25" thickTop="1" thickBot="1">
      <c r="B222">
        <f>wyniki!B264</f>
        <v>0</v>
      </c>
      <c r="C222" s="56">
        <f>wyniki!K264</f>
        <v>0</v>
      </c>
      <c r="D222" s="18">
        <v>-2.2100000000000002E-3</v>
      </c>
      <c r="E222" s="56" t="b">
        <f t="shared" si="15"/>
        <v>0</v>
      </c>
      <c r="F222">
        <f>wyniki!$A$259</f>
        <v>0</v>
      </c>
      <c r="G222" s="56">
        <f t="shared" si="16"/>
        <v>0</v>
      </c>
      <c r="J222" s="79" t="e">
        <f t="shared" si="17"/>
        <v>#NUM!</v>
      </c>
      <c r="K222" s="61" t="e">
        <f>-LARGE($E$2:$E$241,221)</f>
        <v>#NUM!</v>
      </c>
      <c r="L222" s="59" t="e">
        <f t="shared" si="19"/>
        <v>#NUM!</v>
      </c>
      <c r="M222" s="90" t="e">
        <f t="shared" si="18"/>
        <v>#NUM!</v>
      </c>
      <c r="N222" s="37">
        <v>221</v>
      </c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</row>
    <row r="223" spans="2:31" ht="17.25" thickTop="1" thickBot="1">
      <c r="B223">
        <f>wyniki!B265</f>
        <v>0</v>
      </c>
      <c r="C223" s="56">
        <f>wyniki!K265</f>
        <v>0</v>
      </c>
      <c r="D223" s="18">
        <v>-2.2200000000000002E-3</v>
      </c>
      <c r="E223" s="56" t="b">
        <f t="shared" si="15"/>
        <v>0</v>
      </c>
      <c r="F223">
        <f>wyniki!$A$259</f>
        <v>0</v>
      </c>
      <c r="G223" s="56">
        <f t="shared" si="16"/>
        <v>0</v>
      </c>
      <c r="J223" s="79" t="e">
        <f t="shared" si="17"/>
        <v>#NUM!</v>
      </c>
      <c r="K223" s="61" t="e">
        <f>-LARGE($E$2:$E$241,222)</f>
        <v>#NUM!</v>
      </c>
      <c r="L223" s="59" t="e">
        <f t="shared" si="19"/>
        <v>#NUM!</v>
      </c>
      <c r="M223" s="90" t="e">
        <f t="shared" si="18"/>
        <v>#NUM!</v>
      </c>
      <c r="N223" s="37">
        <v>222</v>
      </c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</row>
    <row r="224" spans="2:31" ht="17.25" thickTop="1" thickBot="1">
      <c r="B224">
        <f>wyniki!B267</f>
        <v>0</v>
      </c>
      <c r="C224" s="56">
        <f>wyniki!K267</f>
        <v>0</v>
      </c>
      <c r="D224" s="18">
        <v>-2.2300000000000002E-3</v>
      </c>
      <c r="E224" s="56" t="b">
        <f t="shared" si="15"/>
        <v>0</v>
      </c>
      <c r="F224">
        <f>wyniki!$A$266</f>
        <v>0</v>
      </c>
      <c r="G224" s="56">
        <f t="shared" si="16"/>
        <v>0</v>
      </c>
      <c r="J224" s="79" t="e">
        <f t="shared" si="17"/>
        <v>#NUM!</v>
      </c>
      <c r="K224" s="61" t="e">
        <f>-LARGE($E$2:$E$241,223)</f>
        <v>#NUM!</v>
      </c>
      <c r="L224" s="59" t="e">
        <f t="shared" si="19"/>
        <v>#NUM!</v>
      </c>
      <c r="M224" s="90" t="e">
        <f t="shared" si="18"/>
        <v>#NUM!</v>
      </c>
      <c r="N224" s="37">
        <v>223</v>
      </c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</row>
    <row r="225" spans="2:31" ht="17.25" thickTop="1" thickBot="1">
      <c r="B225">
        <f>wyniki!B268</f>
        <v>0</v>
      </c>
      <c r="C225" s="56">
        <f>wyniki!K268</f>
        <v>0</v>
      </c>
      <c r="D225" s="18">
        <v>-2.2399999999999998E-3</v>
      </c>
      <c r="E225" s="56" t="b">
        <f t="shared" si="15"/>
        <v>0</v>
      </c>
      <c r="F225">
        <f>wyniki!$A$266</f>
        <v>0</v>
      </c>
      <c r="G225" s="56">
        <f t="shared" si="16"/>
        <v>0</v>
      </c>
      <c r="J225" s="79" t="e">
        <f t="shared" si="17"/>
        <v>#NUM!</v>
      </c>
      <c r="K225" s="61" t="e">
        <f>-LARGE($E$2:$E$241,224)</f>
        <v>#NUM!</v>
      </c>
      <c r="L225" s="59" t="e">
        <f t="shared" si="19"/>
        <v>#NUM!</v>
      </c>
      <c r="M225" s="90" t="e">
        <f t="shared" si="18"/>
        <v>#NUM!</v>
      </c>
      <c r="N225" s="37">
        <v>224</v>
      </c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</row>
    <row r="226" spans="2:31" ht="17.25" thickTop="1" thickBot="1">
      <c r="B226">
        <f>wyniki!B269</f>
        <v>0</v>
      </c>
      <c r="C226" s="56">
        <f>wyniki!K269</f>
        <v>0</v>
      </c>
      <c r="D226" s="18">
        <v>-2.2499999999999998E-3</v>
      </c>
      <c r="E226" s="56" t="b">
        <f t="shared" si="15"/>
        <v>0</v>
      </c>
      <c r="F226">
        <f>wyniki!$A$266</f>
        <v>0</v>
      </c>
      <c r="G226" s="56">
        <f t="shared" si="16"/>
        <v>0</v>
      </c>
      <c r="J226" s="79" t="e">
        <f t="shared" si="17"/>
        <v>#NUM!</v>
      </c>
      <c r="K226" s="61" t="e">
        <f>-LARGE($E$2:$E$241,225)</f>
        <v>#NUM!</v>
      </c>
      <c r="L226" s="59" t="e">
        <f t="shared" si="19"/>
        <v>#NUM!</v>
      </c>
      <c r="M226" s="90" t="e">
        <f t="shared" si="18"/>
        <v>#NUM!</v>
      </c>
      <c r="N226" s="37">
        <v>225</v>
      </c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</row>
    <row r="227" spans="2:31" ht="17.25" thickTop="1" thickBot="1">
      <c r="B227">
        <f>wyniki!B270</f>
        <v>0</v>
      </c>
      <c r="C227" s="56">
        <f>wyniki!K270</f>
        <v>0</v>
      </c>
      <c r="D227" s="18">
        <v>-2.2599999999999999E-3</v>
      </c>
      <c r="E227" s="56" t="b">
        <f t="shared" si="15"/>
        <v>0</v>
      </c>
      <c r="F227">
        <f>wyniki!$A$266</f>
        <v>0</v>
      </c>
      <c r="G227" s="56">
        <f t="shared" si="16"/>
        <v>0</v>
      </c>
      <c r="J227" s="79" t="e">
        <f t="shared" si="17"/>
        <v>#NUM!</v>
      </c>
      <c r="K227" s="61" t="e">
        <f>-LARGE($E$2:$E$241,226)</f>
        <v>#NUM!</v>
      </c>
      <c r="L227" s="59" t="e">
        <f t="shared" si="19"/>
        <v>#NUM!</v>
      </c>
      <c r="M227" s="90" t="e">
        <f t="shared" si="18"/>
        <v>#NUM!</v>
      </c>
      <c r="N227" s="37">
        <v>226</v>
      </c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</row>
    <row r="228" spans="2:31" ht="17.25" thickTop="1" thickBot="1">
      <c r="B228">
        <f>wyniki!B271</f>
        <v>0</v>
      </c>
      <c r="C228" s="56">
        <f>wyniki!K271</f>
        <v>0</v>
      </c>
      <c r="D228" s="18">
        <v>-2.2699999999999999E-3</v>
      </c>
      <c r="E228" s="56" t="b">
        <f t="shared" si="15"/>
        <v>0</v>
      </c>
      <c r="F228">
        <f>wyniki!$A$266</f>
        <v>0</v>
      </c>
      <c r="G228" s="56">
        <f t="shared" si="16"/>
        <v>0</v>
      </c>
      <c r="J228" s="79" t="e">
        <f t="shared" si="17"/>
        <v>#NUM!</v>
      </c>
      <c r="K228" s="61" t="e">
        <f>-LARGE($E$2:$E$241,227)</f>
        <v>#NUM!</v>
      </c>
      <c r="L228" s="59" t="e">
        <f t="shared" si="19"/>
        <v>#NUM!</v>
      </c>
      <c r="M228" s="90" t="e">
        <f t="shared" si="18"/>
        <v>#NUM!</v>
      </c>
      <c r="N228" s="37">
        <v>227</v>
      </c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</row>
    <row r="229" spans="2:31" ht="17.25" thickTop="1" thickBot="1">
      <c r="B229">
        <f>wyniki!B272</f>
        <v>0</v>
      </c>
      <c r="C229" s="56">
        <f>wyniki!K272</f>
        <v>0</v>
      </c>
      <c r="D229" s="18">
        <v>-2.2799999999999999E-3</v>
      </c>
      <c r="E229" s="56" t="b">
        <f t="shared" si="15"/>
        <v>0</v>
      </c>
      <c r="F229">
        <f>wyniki!$A$266</f>
        <v>0</v>
      </c>
      <c r="G229" s="56">
        <f t="shared" si="16"/>
        <v>0</v>
      </c>
      <c r="J229" s="79" t="e">
        <f t="shared" si="17"/>
        <v>#NUM!</v>
      </c>
      <c r="K229" s="61" t="e">
        <f>-LARGE($E$2:$E$241,228)</f>
        <v>#NUM!</v>
      </c>
      <c r="L229" s="59" t="e">
        <f t="shared" si="19"/>
        <v>#NUM!</v>
      </c>
      <c r="M229" s="90" t="e">
        <f t="shared" si="18"/>
        <v>#NUM!</v>
      </c>
      <c r="N229" s="37">
        <v>228</v>
      </c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</row>
    <row r="230" spans="2:31" ht="17.25" thickTop="1" thickBot="1">
      <c r="B230">
        <f>wyniki!B274</f>
        <v>0</v>
      </c>
      <c r="C230" s="56">
        <f>wyniki!K274</f>
        <v>0</v>
      </c>
      <c r="D230" s="18">
        <v>-2.2899999999999999E-3</v>
      </c>
      <c r="E230" s="56" t="b">
        <f t="shared" si="15"/>
        <v>0</v>
      </c>
      <c r="F230">
        <f>wyniki!$A$273</f>
        <v>0</v>
      </c>
      <c r="G230" s="56">
        <f t="shared" si="16"/>
        <v>0</v>
      </c>
      <c r="J230" s="79" t="e">
        <f t="shared" si="17"/>
        <v>#NUM!</v>
      </c>
      <c r="K230" s="61" t="e">
        <f>-LARGE($E$2:$E$241,229)</f>
        <v>#NUM!</v>
      </c>
      <c r="L230" s="59" t="e">
        <f t="shared" si="19"/>
        <v>#NUM!</v>
      </c>
      <c r="M230" s="90" t="e">
        <f t="shared" si="18"/>
        <v>#NUM!</v>
      </c>
      <c r="N230" s="37">
        <v>229</v>
      </c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</row>
    <row r="231" spans="2:31" ht="17.25" thickTop="1" thickBot="1">
      <c r="B231">
        <f>wyniki!B275</f>
        <v>0</v>
      </c>
      <c r="C231" s="56">
        <f>wyniki!K275</f>
        <v>0</v>
      </c>
      <c r="D231" s="18">
        <v>-2.3E-3</v>
      </c>
      <c r="E231" s="56" t="b">
        <f t="shared" si="15"/>
        <v>0</v>
      </c>
      <c r="F231">
        <f>wyniki!$A$273</f>
        <v>0</v>
      </c>
      <c r="G231" s="56">
        <f t="shared" si="16"/>
        <v>0</v>
      </c>
      <c r="J231" s="79" t="e">
        <f t="shared" si="17"/>
        <v>#NUM!</v>
      </c>
      <c r="K231" s="61" t="e">
        <f>-LARGE($E$2:$E$241,230)</f>
        <v>#NUM!</v>
      </c>
      <c r="L231" s="59" t="e">
        <f t="shared" si="19"/>
        <v>#NUM!</v>
      </c>
      <c r="M231" s="90" t="e">
        <f t="shared" si="18"/>
        <v>#NUM!</v>
      </c>
      <c r="N231" s="37">
        <v>230</v>
      </c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</row>
    <row r="232" spans="2:31" ht="17.25" thickTop="1" thickBot="1">
      <c r="B232">
        <f>wyniki!B276</f>
        <v>0</v>
      </c>
      <c r="C232" s="56">
        <f>wyniki!K276</f>
        <v>0</v>
      </c>
      <c r="D232" s="18">
        <v>-2.31E-3</v>
      </c>
      <c r="E232" s="56" t="b">
        <f t="shared" si="15"/>
        <v>0</v>
      </c>
      <c r="F232">
        <f>wyniki!$A$273</f>
        <v>0</v>
      </c>
      <c r="G232" s="56">
        <f t="shared" si="16"/>
        <v>0</v>
      </c>
      <c r="J232" s="79" t="e">
        <f t="shared" si="17"/>
        <v>#NUM!</v>
      </c>
      <c r="K232" s="61" t="e">
        <f>-LARGE($E$2:$E$241,231)</f>
        <v>#NUM!</v>
      </c>
      <c r="L232" s="59" t="e">
        <f t="shared" si="19"/>
        <v>#NUM!</v>
      </c>
      <c r="M232" s="90" t="e">
        <f t="shared" si="18"/>
        <v>#NUM!</v>
      </c>
      <c r="N232" s="37">
        <v>231</v>
      </c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</row>
    <row r="233" spans="2:31" ht="17.25" thickTop="1" thickBot="1">
      <c r="B233">
        <f>wyniki!B277</f>
        <v>0</v>
      </c>
      <c r="C233" s="56">
        <f>wyniki!K277</f>
        <v>0</v>
      </c>
      <c r="D233" s="18">
        <v>-2.32E-3</v>
      </c>
      <c r="E233" s="56" t="b">
        <f t="shared" si="15"/>
        <v>0</v>
      </c>
      <c r="F233">
        <f>wyniki!$A$273</f>
        <v>0</v>
      </c>
      <c r="G233" s="56">
        <f t="shared" si="16"/>
        <v>0</v>
      </c>
      <c r="J233" s="79" t="e">
        <f t="shared" si="17"/>
        <v>#NUM!</v>
      </c>
      <c r="K233" s="61" t="e">
        <f>-LARGE($E$2:$E$241,232)</f>
        <v>#NUM!</v>
      </c>
      <c r="L233" s="59" t="e">
        <f t="shared" si="19"/>
        <v>#NUM!</v>
      </c>
      <c r="M233" s="90" t="e">
        <f t="shared" si="18"/>
        <v>#NUM!</v>
      </c>
      <c r="N233" s="37">
        <v>232</v>
      </c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</row>
    <row r="234" spans="2:31" ht="17.25" thickTop="1" thickBot="1">
      <c r="B234">
        <f>wyniki!B278</f>
        <v>0</v>
      </c>
      <c r="C234" s="56">
        <f>wyniki!K278</f>
        <v>0</v>
      </c>
      <c r="D234" s="18">
        <v>-2.33E-3</v>
      </c>
      <c r="E234" s="56" t="b">
        <f t="shared" si="15"/>
        <v>0</v>
      </c>
      <c r="F234">
        <f>wyniki!$A$273</f>
        <v>0</v>
      </c>
      <c r="G234" s="56">
        <f t="shared" si="16"/>
        <v>0</v>
      </c>
      <c r="J234" s="79" t="e">
        <f t="shared" si="17"/>
        <v>#NUM!</v>
      </c>
      <c r="K234" s="61" t="e">
        <f>-LARGE($E$2:$E$241,233)</f>
        <v>#NUM!</v>
      </c>
      <c r="L234" s="59" t="e">
        <f t="shared" si="19"/>
        <v>#NUM!</v>
      </c>
      <c r="M234" s="90" t="e">
        <f t="shared" si="18"/>
        <v>#NUM!</v>
      </c>
      <c r="N234" s="37">
        <v>233</v>
      </c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</row>
    <row r="235" spans="2:31" ht="17.25" thickTop="1" thickBot="1">
      <c r="B235">
        <f>wyniki!B279</f>
        <v>0</v>
      </c>
      <c r="C235" s="56">
        <f>wyniki!K279</f>
        <v>0</v>
      </c>
      <c r="D235" s="18">
        <v>-2.3400000000000001E-3</v>
      </c>
      <c r="E235" s="56" t="b">
        <f t="shared" si="15"/>
        <v>0</v>
      </c>
      <c r="F235">
        <f>wyniki!$A$273</f>
        <v>0</v>
      </c>
      <c r="G235" s="56">
        <f t="shared" si="16"/>
        <v>0</v>
      </c>
      <c r="J235" s="79" t="e">
        <f t="shared" si="17"/>
        <v>#NUM!</v>
      </c>
      <c r="K235" s="61" t="e">
        <f>-LARGE($E$2:$E$241,234)</f>
        <v>#NUM!</v>
      </c>
      <c r="L235" s="59" t="e">
        <f t="shared" si="19"/>
        <v>#NUM!</v>
      </c>
      <c r="M235" s="90" t="e">
        <f t="shared" si="18"/>
        <v>#NUM!</v>
      </c>
      <c r="N235" s="37">
        <v>234</v>
      </c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</row>
    <row r="236" spans="2:31" ht="17.25" thickTop="1" thickBot="1">
      <c r="B236">
        <f>wyniki!B281</f>
        <v>0</v>
      </c>
      <c r="C236" s="56">
        <f>wyniki!K281</f>
        <v>0</v>
      </c>
      <c r="D236" s="18">
        <v>-2.3500000000000001E-3</v>
      </c>
      <c r="E236" s="56" t="b">
        <f t="shared" si="15"/>
        <v>0</v>
      </c>
      <c r="F236">
        <f>wyniki!$A$280</f>
        <v>0</v>
      </c>
      <c r="G236" s="56">
        <f t="shared" si="16"/>
        <v>0</v>
      </c>
      <c r="J236" s="79" t="e">
        <f t="shared" si="17"/>
        <v>#NUM!</v>
      </c>
      <c r="K236" s="61" t="e">
        <f>-LARGE($E$2:$E$241,235)</f>
        <v>#NUM!</v>
      </c>
      <c r="L236" s="59" t="e">
        <f t="shared" si="19"/>
        <v>#NUM!</v>
      </c>
      <c r="M236" s="90" t="e">
        <f t="shared" si="18"/>
        <v>#NUM!</v>
      </c>
      <c r="N236" s="37">
        <v>235</v>
      </c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</row>
    <row r="237" spans="2:31" ht="17.25" thickTop="1" thickBot="1">
      <c r="B237">
        <f>wyniki!B282</f>
        <v>0</v>
      </c>
      <c r="C237" s="56">
        <f>wyniki!K282</f>
        <v>0</v>
      </c>
      <c r="D237" s="18">
        <v>-2.3600000000000001E-3</v>
      </c>
      <c r="E237" s="56" t="b">
        <f t="shared" si="15"/>
        <v>0</v>
      </c>
      <c r="F237">
        <f>wyniki!$A$280</f>
        <v>0</v>
      </c>
      <c r="G237" s="56">
        <f t="shared" si="16"/>
        <v>0</v>
      </c>
      <c r="J237" s="79" t="e">
        <f t="shared" si="17"/>
        <v>#NUM!</v>
      </c>
      <c r="K237" s="61" t="e">
        <f>-LARGE($E$2:$E$241,236)</f>
        <v>#NUM!</v>
      </c>
      <c r="L237" s="59" t="e">
        <f t="shared" si="19"/>
        <v>#NUM!</v>
      </c>
      <c r="M237" s="90" t="e">
        <f t="shared" si="18"/>
        <v>#NUM!</v>
      </c>
      <c r="N237" s="37">
        <v>236</v>
      </c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</row>
    <row r="238" spans="2:31" ht="17.25" thickTop="1" thickBot="1">
      <c r="B238">
        <f>wyniki!B283</f>
        <v>0</v>
      </c>
      <c r="C238" s="56">
        <f>wyniki!K283</f>
        <v>0</v>
      </c>
      <c r="D238" s="18">
        <v>-2.3700000000000001E-3</v>
      </c>
      <c r="E238" s="56" t="b">
        <f t="shared" si="15"/>
        <v>0</v>
      </c>
      <c r="F238">
        <f>wyniki!$A$280</f>
        <v>0</v>
      </c>
      <c r="G238" s="56">
        <f t="shared" si="16"/>
        <v>0</v>
      </c>
      <c r="J238" s="79" t="e">
        <f t="shared" si="17"/>
        <v>#NUM!</v>
      </c>
      <c r="K238" s="61" t="e">
        <f>-LARGE($E$2:$E$241,237)</f>
        <v>#NUM!</v>
      </c>
      <c r="L238" s="59" t="e">
        <f t="shared" si="19"/>
        <v>#NUM!</v>
      </c>
      <c r="M238" s="90" t="e">
        <f t="shared" si="18"/>
        <v>#NUM!</v>
      </c>
      <c r="N238" s="37">
        <v>237</v>
      </c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</row>
    <row r="239" spans="2:31" ht="17.25" thickTop="1" thickBot="1">
      <c r="B239">
        <f>wyniki!B284</f>
        <v>0</v>
      </c>
      <c r="C239" s="56">
        <f>wyniki!K284</f>
        <v>0</v>
      </c>
      <c r="D239" s="18">
        <v>-2.3800000000000002E-3</v>
      </c>
      <c r="E239" s="56" t="b">
        <f t="shared" si="15"/>
        <v>0</v>
      </c>
      <c r="F239">
        <f>wyniki!$A$280</f>
        <v>0</v>
      </c>
      <c r="G239" s="56">
        <f t="shared" si="16"/>
        <v>0</v>
      </c>
      <c r="J239" s="79" t="e">
        <f t="shared" si="17"/>
        <v>#NUM!</v>
      </c>
      <c r="K239" s="61" t="e">
        <f>-LARGE($E$2:$E$241,238)</f>
        <v>#NUM!</v>
      </c>
      <c r="L239" s="59" t="e">
        <f t="shared" si="19"/>
        <v>#NUM!</v>
      </c>
      <c r="M239" s="90" t="e">
        <f t="shared" si="18"/>
        <v>#NUM!</v>
      </c>
      <c r="N239" s="37">
        <v>238</v>
      </c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</row>
    <row r="240" spans="2:31" ht="17.25" thickTop="1" thickBot="1">
      <c r="B240">
        <f>wyniki!B285</f>
        <v>0</v>
      </c>
      <c r="C240" s="56">
        <f>wyniki!K285</f>
        <v>0</v>
      </c>
      <c r="D240" s="18">
        <v>-2.3900000000000002E-3</v>
      </c>
      <c r="E240" s="56" t="b">
        <f t="shared" si="15"/>
        <v>0</v>
      </c>
      <c r="F240">
        <f>wyniki!$A$280</f>
        <v>0</v>
      </c>
      <c r="G240" s="56">
        <f t="shared" si="16"/>
        <v>0</v>
      </c>
      <c r="J240" s="79" t="e">
        <f t="shared" si="17"/>
        <v>#NUM!</v>
      </c>
      <c r="K240" s="61" t="e">
        <f>-LARGE($E$2:$E$241,239)</f>
        <v>#NUM!</v>
      </c>
      <c r="L240" s="59" t="e">
        <f t="shared" si="19"/>
        <v>#NUM!</v>
      </c>
      <c r="M240" s="90" t="e">
        <f t="shared" si="18"/>
        <v>#NUM!</v>
      </c>
      <c r="N240" s="37">
        <v>239</v>
      </c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</row>
    <row r="241" spans="1:31" ht="17.25" thickTop="1" thickBot="1">
      <c r="B241">
        <f>wyniki!B286</f>
        <v>0</v>
      </c>
      <c r="C241" s="56">
        <f>wyniki!K286</f>
        <v>0</v>
      </c>
      <c r="D241" s="18">
        <v>-2.3999999999999998E-3</v>
      </c>
      <c r="E241" s="56" t="b">
        <f t="shared" si="15"/>
        <v>0</v>
      </c>
      <c r="F241">
        <f>wyniki!$A$280</f>
        <v>0</v>
      </c>
      <c r="G241" s="56">
        <f t="shared" si="16"/>
        <v>0</v>
      </c>
      <c r="J241" s="79" t="e">
        <f t="shared" si="17"/>
        <v>#NUM!</v>
      </c>
      <c r="K241" s="61" t="e">
        <f>-LARGE($E$2:$E$241,240)</f>
        <v>#NUM!</v>
      </c>
      <c r="L241" s="59" t="e">
        <f t="shared" si="19"/>
        <v>#NUM!</v>
      </c>
      <c r="M241" s="90" t="e">
        <f t="shared" si="18"/>
        <v>#NUM!</v>
      </c>
      <c r="N241" s="37">
        <v>240</v>
      </c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</row>
    <row r="242" spans="1:31" ht="13.5" thickTop="1">
      <c r="A242" s="21"/>
      <c r="B242" s="21"/>
      <c r="C242" s="21"/>
      <c r="D242" s="21"/>
      <c r="E242" s="21"/>
      <c r="F242" s="21"/>
      <c r="G242" s="21"/>
      <c r="H242" s="21"/>
      <c r="I242" s="21"/>
      <c r="J242" s="86"/>
      <c r="K242" s="76"/>
      <c r="L242" s="21"/>
      <c r="M242" s="86"/>
      <c r="N242" s="74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</row>
    <row r="243" spans="1:31">
      <c r="A243" s="21"/>
      <c r="B243" s="21"/>
      <c r="C243" s="21"/>
      <c r="D243" s="21"/>
      <c r="E243" s="21"/>
      <c r="F243" s="21"/>
      <c r="G243" s="21"/>
      <c r="H243" s="21"/>
      <c r="I243" s="21"/>
      <c r="J243" s="86"/>
      <c r="K243" s="76"/>
      <c r="L243" s="21"/>
      <c r="M243" s="86"/>
      <c r="N243" s="74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</row>
    <row r="244" spans="1:31">
      <c r="A244" s="21"/>
      <c r="B244" s="21"/>
      <c r="C244" s="21"/>
      <c r="D244" s="21"/>
      <c r="E244" s="21"/>
      <c r="F244" s="21"/>
      <c r="G244" s="21"/>
      <c r="H244" s="21"/>
      <c r="I244" s="21"/>
      <c r="J244" s="86"/>
      <c r="K244" s="76"/>
      <c r="L244" s="21"/>
      <c r="M244" s="86"/>
      <c r="N244" s="74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</row>
    <row r="245" spans="1:31">
      <c r="A245" s="21"/>
      <c r="B245" s="21"/>
      <c r="C245" s="21"/>
      <c r="D245" s="21"/>
      <c r="E245" s="21"/>
      <c r="F245" s="21"/>
      <c r="G245" s="21"/>
      <c r="H245" s="21"/>
      <c r="I245" s="21"/>
      <c r="J245" s="86"/>
      <c r="K245" s="76"/>
      <c r="L245" s="21"/>
      <c r="M245" s="86"/>
      <c r="N245" s="74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</row>
    <row r="246" spans="1:31">
      <c r="A246" s="21"/>
      <c r="B246" s="21"/>
      <c r="C246" s="21"/>
      <c r="D246" s="21"/>
      <c r="E246" s="21"/>
      <c r="F246" s="21"/>
      <c r="G246" s="21"/>
      <c r="H246" s="21"/>
      <c r="I246" s="21"/>
      <c r="J246" s="86"/>
      <c r="K246" s="76"/>
      <c r="L246" s="21"/>
      <c r="M246" s="86"/>
      <c r="N246" s="74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</row>
    <row r="247" spans="1:31">
      <c r="A247" s="21"/>
      <c r="B247" s="21"/>
      <c r="C247" s="21"/>
      <c r="D247" s="21"/>
      <c r="E247" s="21"/>
      <c r="F247" s="21"/>
      <c r="G247" s="21"/>
      <c r="H247" s="21"/>
      <c r="I247" s="21"/>
      <c r="J247" s="86"/>
      <c r="K247" s="76"/>
      <c r="L247" s="21"/>
      <c r="M247" s="86"/>
      <c r="N247" s="74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</row>
    <row r="248" spans="1:31">
      <c r="A248" s="21"/>
      <c r="B248" s="21"/>
      <c r="C248" s="21"/>
      <c r="D248" s="21"/>
      <c r="E248" s="21"/>
      <c r="F248" s="21"/>
      <c r="G248" s="21"/>
      <c r="H248" s="21"/>
      <c r="I248" s="21"/>
      <c r="J248" s="86"/>
      <c r="K248" s="76"/>
      <c r="L248" s="21"/>
      <c r="M248" s="86"/>
      <c r="N248" s="74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</row>
    <row r="249" spans="1:31">
      <c r="A249" s="21"/>
      <c r="B249" s="21"/>
      <c r="C249" s="21"/>
      <c r="D249" s="21"/>
      <c r="E249" s="21"/>
      <c r="F249" s="21"/>
      <c r="G249" s="21"/>
      <c r="H249" s="21"/>
      <c r="I249" s="21"/>
      <c r="J249" s="86"/>
      <c r="K249" s="76"/>
      <c r="L249" s="21"/>
      <c r="M249" s="86"/>
      <c r="N249" s="74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</row>
    <row r="250" spans="1:31">
      <c r="A250" s="21"/>
      <c r="B250" s="21"/>
      <c r="C250" s="21"/>
      <c r="D250" s="21"/>
      <c r="E250" s="21"/>
      <c r="F250" s="21"/>
      <c r="G250" s="21"/>
      <c r="H250" s="21"/>
      <c r="I250" s="21"/>
      <c r="J250" s="86"/>
      <c r="K250" s="76"/>
      <c r="L250" s="21"/>
      <c r="M250" s="86"/>
      <c r="N250" s="74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</row>
    <row r="251" spans="1:31">
      <c r="A251" s="21"/>
      <c r="B251" s="21"/>
      <c r="C251" s="21"/>
      <c r="D251" s="21"/>
      <c r="E251" s="21"/>
      <c r="F251" s="21"/>
      <c r="G251" s="21"/>
      <c r="H251" s="21"/>
      <c r="I251" s="21"/>
      <c r="J251" s="86"/>
      <c r="K251" s="76"/>
      <c r="L251" s="21"/>
      <c r="M251" s="86"/>
      <c r="N251" s="74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</row>
    <row r="252" spans="1:31">
      <c r="A252" s="21"/>
      <c r="B252" s="21"/>
      <c r="C252" s="21"/>
      <c r="D252" s="21"/>
      <c r="E252" s="21"/>
      <c r="F252" s="21"/>
      <c r="G252" s="21"/>
      <c r="H252" s="21"/>
      <c r="I252" s="21"/>
      <c r="J252" s="86"/>
      <c r="K252" s="76"/>
      <c r="L252" s="21"/>
      <c r="M252" s="86"/>
      <c r="N252" s="74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</row>
    <row r="253" spans="1:31">
      <c r="A253" s="21"/>
      <c r="B253" s="21"/>
      <c r="C253" s="21"/>
      <c r="D253" s="21"/>
      <c r="E253" s="21"/>
      <c r="F253" s="21"/>
      <c r="G253" s="21"/>
      <c r="H253" s="21"/>
      <c r="I253" s="21"/>
      <c r="J253" s="86"/>
      <c r="K253" s="76"/>
      <c r="L253" s="21"/>
      <c r="M253" s="86"/>
      <c r="N253" s="74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</row>
    <row r="254" spans="1:31">
      <c r="A254" s="21"/>
      <c r="B254" s="21"/>
      <c r="C254" s="21"/>
      <c r="D254" s="21"/>
      <c r="E254" s="21"/>
      <c r="F254" s="21"/>
      <c r="G254" s="21"/>
      <c r="H254" s="21"/>
      <c r="I254" s="21"/>
      <c r="J254" s="86"/>
      <c r="K254" s="76"/>
      <c r="L254" s="21"/>
      <c r="M254" s="86"/>
      <c r="N254" s="74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</row>
    <row r="255" spans="1:31">
      <c r="A255" s="21"/>
      <c r="B255" s="21"/>
      <c r="C255" s="21"/>
      <c r="D255" s="21"/>
      <c r="E255" s="21"/>
      <c r="F255" s="21"/>
      <c r="G255" s="21"/>
      <c r="H255" s="21"/>
      <c r="I255" s="21"/>
      <c r="J255" s="86"/>
      <c r="K255" s="76"/>
      <c r="L255" s="21"/>
      <c r="M255" s="86"/>
      <c r="N255" s="74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</row>
    <row r="256" spans="1:31">
      <c r="A256" s="21"/>
      <c r="B256" s="21"/>
      <c r="C256" s="21"/>
      <c r="D256" s="21"/>
      <c r="E256" s="21"/>
      <c r="F256" s="21"/>
      <c r="G256" s="21"/>
      <c r="H256" s="21"/>
      <c r="I256" s="21"/>
      <c r="J256" s="86"/>
      <c r="K256" s="76"/>
      <c r="L256" s="21"/>
      <c r="M256" s="86"/>
      <c r="N256" s="74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</row>
    <row r="257" spans="1:31">
      <c r="A257" s="21"/>
      <c r="B257" s="21"/>
      <c r="C257" s="21"/>
      <c r="D257" s="21"/>
      <c r="E257" s="21"/>
      <c r="F257" s="21"/>
      <c r="G257" s="21"/>
      <c r="H257" s="21"/>
      <c r="I257" s="21"/>
      <c r="J257" s="86"/>
      <c r="K257" s="76"/>
      <c r="L257" s="21"/>
      <c r="M257" s="86"/>
      <c r="N257" s="74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</row>
    <row r="258" spans="1:31">
      <c r="A258" s="21"/>
      <c r="B258" s="21"/>
      <c r="C258" s="21"/>
      <c r="D258" s="21"/>
      <c r="E258" s="21"/>
      <c r="F258" s="21"/>
      <c r="G258" s="21"/>
      <c r="H258" s="21"/>
      <c r="I258" s="21"/>
      <c r="J258" s="86"/>
      <c r="K258" s="76"/>
      <c r="L258" s="21"/>
      <c r="M258" s="86"/>
      <c r="N258" s="74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</row>
    <row r="259" spans="1:31">
      <c r="A259" s="21"/>
      <c r="B259" s="21"/>
      <c r="C259" s="21"/>
      <c r="D259" s="21"/>
      <c r="E259" s="21"/>
      <c r="F259" s="21"/>
      <c r="G259" s="21"/>
      <c r="H259" s="21"/>
      <c r="I259" s="21"/>
      <c r="J259" s="86"/>
      <c r="K259" s="76"/>
      <c r="L259" s="21"/>
      <c r="M259" s="86"/>
      <c r="N259" s="74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</row>
    <row r="260" spans="1:31">
      <c r="A260" s="21"/>
      <c r="B260" s="21"/>
      <c r="C260" s="21"/>
      <c r="D260" s="21"/>
      <c r="E260" s="21"/>
      <c r="F260" s="21"/>
      <c r="G260" s="21"/>
      <c r="H260" s="21"/>
      <c r="I260" s="21"/>
      <c r="J260" s="86"/>
      <c r="K260" s="76"/>
      <c r="L260" s="21"/>
      <c r="M260" s="86"/>
      <c r="N260" s="74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</row>
    <row r="261" spans="1:31">
      <c r="A261" s="21"/>
      <c r="B261" s="21"/>
      <c r="C261" s="21"/>
      <c r="D261" s="21"/>
      <c r="E261" s="21"/>
      <c r="F261" s="21"/>
      <c r="G261" s="21"/>
      <c r="H261" s="21"/>
      <c r="I261" s="21"/>
      <c r="J261" s="86"/>
      <c r="K261" s="76"/>
      <c r="L261" s="21"/>
      <c r="M261" s="86"/>
      <c r="N261" s="74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</row>
    <row r="262" spans="1:31">
      <c r="A262" s="21"/>
      <c r="B262" s="21"/>
      <c r="C262" s="21"/>
      <c r="D262" s="21"/>
      <c r="E262" s="21"/>
      <c r="F262" s="21"/>
      <c r="G262" s="21"/>
      <c r="H262" s="21"/>
      <c r="I262" s="21"/>
      <c r="J262" s="86"/>
      <c r="K262" s="76"/>
      <c r="L262" s="21"/>
      <c r="M262" s="86"/>
      <c r="N262" s="74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</row>
    <row r="263" spans="1:31">
      <c r="A263" s="21"/>
      <c r="B263" s="21"/>
      <c r="C263" s="21"/>
      <c r="D263" s="21"/>
      <c r="E263" s="21"/>
      <c r="F263" s="21"/>
      <c r="G263" s="21"/>
      <c r="H263" s="21"/>
      <c r="I263" s="21"/>
      <c r="J263" s="86"/>
      <c r="K263" s="76"/>
      <c r="L263" s="21"/>
      <c r="M263" s="86"/>
      <c r="N263" s="74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</row>
    <row r="264" spans="1:31">
      <c r="A264" s="21"/>
      <c r="B264" s="21"/>
      <c r="C264" s="21"/>
      <c r="D264" s="21"/>
      <c r="E264" s="21"/>
      <c r="F264" s="21"/>
      <c r="G264" s="21"/>
      <c r="H264" s="21"/>
      <c r="I264" s="21"/>
      <c r="J264" s="86"/>
      <c r="K264" s="76"/>
      <c r="L264" s="21"/>
      <c r="M264" s="86"/>
      <c r="N264" s="74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</row>
    <row r="265" spans="1:31">
      <c r="A265" s="21"/>
      <c r="B265" s="21"/>
      <c r="C265" s="21"/>
      <c r="D265" s="21"/>
      <c r="E265" s="21"/>
      <c r="F265" s="21"/>
      <c r="G265" s="21"/>
      <c r="H265" s="21"/>
      <c r="I265" s="21"/>
      <c r="J265" s="86"/>
      <c r="K265" s="76"/>
      <c r="L265" s="21"/>
      <c r="M265" s="86"/>
      <c r="N265" s="74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</row>
    <row r="266" spans="1:31">
      <c r="A266" s="21"/>
      <c r="B266" s="21"/>
      <c r="C266" s="21"/>
      <c r="D266" s="21"/>
      <c r="E266" s="21"/>
      <c r="F266" s="21"/>
      <c r="G266" s="21"/>
      <c r="H266" s="21"/>
      <c r="I266" s="21"/>
      <c r="J266" s="86"/>
      <c r="K266" s="76"/>
      <c r="L266" s="21"/>
      <c r="M266" s="86"/>
      <c r="N266" s="74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</row>
    <row r="267" spans="1:31">
      <c r="A267" s="21"/>
      <c r="B267" s="21"/>
      <c r="C267" s="21"/>
      <c r="D267" s="21"/>
      <c r="E267" s="21"/>
      <c r="F267" s="21"/>
      <c r="G267" s="21"/>
      <c r="H267" s="21"/>
      <c r="I267" s="21"/>
      <c r="J267" s="86"/>
      <c r="K267" s="76"/>
      <c r="L267" s="21"/>
      <c r="M267" s="86"/>
      <c r="N267" s="74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</row>
    <row r="268" spans="1:31">
      <c r="A268" s="21"/>
      <c r="B268" s="21"/>
      <c r="C268" s="21"/>
      <c r="D268" s="21"/>
      <c r="E268" s="21"/>
      <c r="F268" s="21"/>
      <c r="G268" s="21"/>
      <c r="H268" s="21"/>
      <c r="I268" s="21"/>
      <c r="J268" s="86"/>
      <c r="K268" s="76"/>
      <c r="L268" s="21"/>
      <c r="M268" s="86"/>
      <c r="N268" s="74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</row>
    <row r="269" spans="1:31">
      <c r="A269" s="21"/>
      <c r="B269" s="21"/>
      <c r="C269" s="21"/>
      <c r="D269" s="21"/>
      <c r="E269" s="21"/>
      <c r="F269" s="21"/>
      <c r="G269" s="21"/>
      <c r="H269" s="21"/>
      <c r="I269" s="21"/>
      <c r="J269" s="86"/>
      <c r="K269" s="76"/>
      <c r="L269" s="21"/>
      <c r="M269" s="86"/>
      <c r="N269" s="74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</row>
    <row r="270" spans="1:31">
      <c r="A270" s="21"/>
      <c r="B270" s="21"/>
      <c r="C270" s="21"/>
      <c r="D270" s="21"/>
      <c r="E270" s="21"/>
      <c r="F270" s="21"/>
      <c r="G270" s="21"/>
      <c r="H270" s="21"/>
      <c r="I270" s="21"/>
      <c r="J270" s="86"/>
      <c r="K270" s="76"/>
      <c r="L270" s="21"/>
      <c r="M270" s="86"/>
      <c r="N270" s="74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</row>
    <row r="271" spans="1:31">
      <c r="A271" s="21"/>
      <c r="B271" s="21"/>
      <c r="C271" s="21"/>
      <c r="D271" s="21"/>
      <c r="E271" s="21"/>
      <c r="F271" s="21"/>
      <c r="G271" s="21"/>
      <c r="H271" s="21"/>
      <c r="I271" s="21"/>
      <c r="J271" s="86"/>
      <c r="K271" s="76"/>
      <c r="L271" s="21"/>
      <c r="M271" s="86"/>
      <c r="N271" s="74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</row>
    <row r="272" spans="1:31">
      <c r="A272" s="21"/>
      <c r="B272" s="21"/>
      <c r="C272" s="21"/>
      <c r="D272" s="21"/>
      <c r="E272" s="21"/>
      <c r="F272" s="21"/>
      <c r="G272" s="21"/>
      <c r="H272" s="21"/>
      <c r="I272" s="21"/>
      <c r="J272" s="86"/>
      <c r="K272" s="76"/>
      <c r="L272" s="21"/>
      <c r="M272" s="86"/>
      <c r="N272" s="74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</row>
    <row r="273" spans="1:31">
      <c r="A273" s="21"/>
      <c r="B273" s="21"/>
      <c r="C273" s="21"/>
      <c r="D273" s="21"/>
      <c r="E273" s="21"/>
      <c r="F273" s="21"/>
      <c r="G273" s="21"/>
      <c r="H273" s="21"/>
      <c r="I273" s="21"/>
      <c r="J273" s="86"/>
      <c r="K273" s="76"/>
      <c r="L273" s="21"/>
      <c r="M273" s="86"/>
      <c r="N273" s="74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</row>
    <row r="274" spans="1:31">
      <c r="A274" s="21"/>
      <c r="B274" s="21"/>
      <c r="C274" s="21"/>
      <c r="D274" s="21"/>
      <c r="E274" s="21"/>
      <c r="F274" s="21"/>
      <c r="G274" s="21"/>
      <c r="H274" s="21"/>
      <c r="I274" s="21"/>
      <c r="J274" s="86"/>
      <c r="K274" s="76"/>
      <c r="L274" s="21"/>
      <c r="M274" s="86"/>
      <c r="N274" s="74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</row>
    <row r="275" spans="1:31">
      <c r="A275" s="21"/>
      <c r="B275" s="21"/>
      <c r="C275" s="21"/>
      <c r="D275" s="21"/>
      <c r="E275" s="21"/>
      <c r="F275" s="21"/>
      <c r="G275" s="21"/>
      <c r="H275" s="21"/>
      <c r="I275" s="21"/>
      <c r="J275" s="86"/>
      <c r="K275" s="76"/>
      <c r="L275" s="21"/>
      <c r="M275" s="86"/>
      <c r="N275" s="74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</row>
    <row r="276" spans="1:31">
      <c r="A276" s="21"/>
      <c r="B276" s="21"/>
      <c r="C276" s="21"/>
      <c r="D276" s="21"/>
      <c r="E276" s="21"/>
      <c r="F276" s="21"/>
      <c r="G276" s="21"/>
      <c r="H276" s="21"/>
      <c r="I276" s="21"/>
      <c r="J276" s="86"/>
      <c r="K276" s="76"/>
      <c r="L276" s="21"/>
      <c r="M276" s="86"/>
      <c r="N276" s="74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</row>
    <row r="277" spans="1:31">
      <c r="A277" s="21"/>
      <c r="B277" s="21"/>
      <c r="C277" s="21"/>
      <c r="D277" s="21"/>
      <c r="E277" s="21"/>
      <c r="F277" s="21"/>
      <c r="G277" s="21"/>
      <c r="H277" s="21"/>
      <c r="I277" s="21"/>
      <c r="J277" s="86"/>
      <c r="K277" s="76"/>
      <c r="L277" s="21"/>
      <c r="M277" s="86"/>
      <c r="N277" s="74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</row>
    <row r="278" spans="1:31">
      <c r="A278" s="21"/>
      <c r="B278" s="21"/>
      <c r="C278" s="21"/>
      <c r="D278" s="21"/>
      <c r="E278" s="21"/>
      <c r="F278" s="21"/>
      <c r="G278" s="21"/>
      <c r="H278" s="21"/>
      <c r="I278" s="21"/>
      <c r="J278" s="86"/>
      <c r="K278" s="76"/>
      <c r="L278" s="21"/>
      <c r="M278" s="86"/>
      <c r="N278" s="74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</row>
    <row r="279" spans="1:31">
      <c r="A279" s="21"/>
      <c r="B279" s="21"/>
      <c r="C279" s="21"/>
      <c r="D279" s="21"/>
      <c r="E279" s="21"/>
      <c r="F279" s="21"/>
      <c r="G279" s="21"/>
      <c r="H279" s="21"/>
      <c r="I279" s="21"/>
      <c r="J279" s="86"/>
      <c r="K279" s="76"/>
      <c r="L279" s="21"/>
      <c r="M279" s="86"/>
      <c r="N279" s="74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</row>
    <row r="280" spans="1:31">
      <c r="A280" s="21"/>
      <c r="B280" s="21"/>
      <c r="C280" s="21"/>
      <c r="D280" s="21"/>
      <c r="E280" s="21"/>
      <c r="F280" s="21"/>
      <c r="G280" s="21"/>
      <c r="H280" s="21"/>
      <c r="I280" s="21"/>
      <c r="J280" s="86"/>
      <c r="K280" s="76"/>
      <c r="L280" s="21"/>
      <c r="M280" s="86"/>
      <c r="N280" s="74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</row>
    <row r="281" spans="1:31">
      <c r="A281" s="21"/>
      <c r="B281" s="21"/>
      <c r="C281" s="21"/>
      <c r="D281" s="21"/>
      <c r="E281" s="21"/>
      <c r="F281" s="21"/>
      <c r="G281" s="21"/>
      <c r="H281" s="21"/>
      <c r="I281" s="21"/>
      <c r="J281" s="86"/>
      <c r="K281" s="76"/>
      <c r="L281" s="21"/>
      <c r="M281" s="86"/>
      <c r="N281" s="74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</row>
    <row r="282" spans="1:31">
      <c r="A282" s="21"/>
      <c r="B282" s="21"/>
      <c r="C282" s="21"/>
      <c r="D282" s="21"/>
      <c r="E282" s="21"/>
      <c r="F282" s="21"/>
      <c r="G282" s="21"/>
      <c r="H282" s="21"/>
      <c r="I282" s="21"/>
      <c r="J282" s="86"/>
      <c r="K282" s="76"/>
      <c r="L282" s="21"/>
      <c r="M282" s="86"/>
      <c r="N282" s="74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</row>
    <row r="283" spans="1:31">
      <c r="A283" s="21"/>
      <c r="B283" s="21"/>
      <c r="C283" s="21"/>
      <c r="D283" s="21"/>
      <c r="E283" s="21"/>
      <c r="F283" s="21"/>
      <c r="G283" s="21"/>
      <c r="H283" s="21"/>
      <c r="I283" s="21"/>
      <c r="J283" s="86"/>
      <c r="K283" s="76"/>
      <c r="L283" s="21"/>
      <c r="M283" s="86"/>
      <c r="N283" s="74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</row>
    <row r="284" spans="1:31">
      <c r="A284" s="21"/>
      <c r="B284" s="21"/>
      <c r="C284" s="21"/>
      <c r="D284" s="21"/>
      <c r="E284" s="21"/>
      <c r="F284" s="21"/>
      <c r="G284" s="21"/>
      <c r="H284" s="21"/>
      <c r="I284" s="21"/>
      <c r="J284" s="86"/>
      <c r="K284" s="76"/>
      <c r="L284" s="21"/>
      <c r="M284" s="86"/>
      <c r="N284" s="74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</row>
    <row r="285" spans="1:31">
      <c r="A285" s="21"/>
      <c r="B285" s="21"/>
      <c r="C285" s="21"/>
      <c r="D285" s="21"/>
      <c r="E285" s="21"/>
      <c r="F285" s="21"/>
      <c r="G285" s="21"/>
      <c r="H285" s="21"/>
      <c r="I285" s="21"/>
      <c r="J285" s="86"/>
      <c r="K285" s="76"/>
      <c r="L285" s="21"/>
      <c r="M285" s="86"/>
      <c r="N285" s="74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</row>
    <row r="286" spans="1:31">
      <c r="A286" s="21"/>
      <c r="B286" s="21"/>
      <c r="C286" s="21"/>
      <c r="D286" s="21"/>
      <c r="E286" s="21"/>
      <c r="F286" s="21"/>
      <c r="G286" s="21"/>
      <c r="H286" s="21"/>
      <c r="I286" s="21"/>
      <c r="J286" s="86"/>
      <c r="K286" s="76"/>
      <c r="L286" s="21"/>
      <c r="M286" s="86"/>
      <c r="N286" s="74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</row>
    <row r="287" spans="1:31">
      <c r="A287" s="21"/>
      <c r="B287" s="21"/>
      <c r="C287" s="21"/>
      <c r="D287" s="21"/>
      <c r="E287" s="21"/>
      <c r="F287" s="21"/>
      <c r="G287" s="21"/>
      <c r="H287" s="21"/>
      <c r="I287" s="21"/>
      <c r="J287" s="86"/>
      <c r="K287" s="76"/>
      <c r="L287" s="21"/>
      <c r="M287" s="86"/>
      <c r="N287" s="74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</row>
    <row r="288" spans="1:31">
      <c r="A288" s="21"/>
      <c r="B288" s="21"/>
      <c r="C288" s="21"/>
      <c r="D288" s="21"/>
      <c r="E288" s="21"/>
      <c r="F288" s="21"/>
      <c r="G288" s="21"/>
      <c r="H288" s="21"/>
      <c r="I288" s="21"/>
      <c r="J288" s="86"/>
      <c r="K288" s="76"/>
      <c r="L288" s="21"/>
      <c r="M288" s="86"/>
      <c r="N288" s="74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</row>
    <row r="289" spans="1:31">
      <c r="A289" s="21"/>
      <c r="B289" s="21"/>
      <c r="C289" s="21"/>
      <c r="D289" s="21"/>
      <c r="E289" s="21"/>
      <c r="F289" s="21"/>
      <c r="G289" s="21"/>
      <c r="H289" s="21"/>
      <c r="I289" s="21"/>
      <c r="J289" s="86"/>
      <c r="K289" s="76"/>
      <c r="L289" s="21"/>
      <c r="M289" s="86"/>
      <c r="N289" s="74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</row>
    <row r="290" spans="1:31">
      <c r="A290" s="21"/>
      <c r="B290" s="21"/>
      <c r="C290" s="21"/>
      <c r="D290" s="21"/>
      <c r="E290" s="21"/>
      <c r="F290" s="21"/>
      <c r="G290" s="21"/>
      <c r="H290" s="21"/>
      <c r="I290" s="21"/>
      <c r="J290" s="86"/>
      <c r="K290" s="76"/>
      <c r="L290" s="21"/>
      <c r="M290" s="86"/>
      <c r="N290" s="74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</row>
    <row r="291" spans="1:31">
      <c r="A291" s="21"/>
      <c r="B291" s="21"/>
      <c r="C291" s="21"/>
      <c r="D291" s="21"/>
      <c r="E291" s="21"/>
      <c r="F291" s="21"/>
      <c r="G291" s="21"/>
      <c r="H291" s="21"/>
      <c r="I291" s="21"/>
      <c r="J291" s="86"/>
      <c r="K291" s="76"/>
      <c r="L291" s="21"/>
      <c r="M291" s="86"/>
      <c r="N291" s="74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</row>
    <row r="292" spans="1:31">
      <c r="A292" s="21"/>
      <c r="B292" s="21"/>
      <c r="C292" s="21"/>
      <c r="D292" s="21"/>
      <c r="E292" s="21"/>
      <c r="F292" s="21"/>
      <c r="G292" s="21"/>
      <c r="H292" s="21"/>
      <c r="I292" s="21"/>
      <c r="J292" s="86"/>
      <c r="K292" s="76"/>
      <c r="L292" s="21"/>
      <c r="M292" s="86"/>
      <c r="N292" s="74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</row>
    <row r="293" spans="1:31">
      <c r="A293" s="21"/>
      <c r="B293" s="21"/>
      <c r="C293" s="21"/>
      <c r="D293" s="21"/>
      <c r="E293" s="21"/>
      <c r="F293" s="21"/>
      <c r="G293" s="21"/>
      <c r="H293" s="21"/>
      <c r="I293" s="21"/>
      <c r="J293" s="86"/>
      <c r="K293" s="76"/>
      <c r="L293" s="21"/>
      <c r="M293" s="86"/>
      <c r="N293" s="74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</row>
    <row r="294" spans="1:31">
      <c r="A294" s="21"/>
      <c r="B294" s="21"/>
      <c r="C294" s="21"/>
      <c r="D294" s="21"/>
      <c r="E294" s="21"/>
      <c r="F294" s="21"/>
      <c r="G294" s="21"/>
      <c r="H294" s="21"/>
      <c r="I294" s="21"/>
      <c r="J294" s="86"/>
      <c r="K294" s="76"/>
      <c r="L294" s="21"/>
      <c r="M294" s="86"/>
      <c r="N294" s="74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</row>
    <row r="295" spans="1:31">
      <c r="A295" s="21"/>
      <c r="B295" s="21"/>
      <c r="C295" s="21"/>
      <c r="D295" s="21"/>
      <c r="E295" s="21"/>
      <c r="F295" s="21"/>
      <c r="G295" s="21"/>
      <c r="H295" s="21"/>
      <c r="I295" s="21"/>
      <c r="J295" s="86"/>
      <c r="K295" s="76"/>
      <c r="L295" s="21"/>
      <c r="M295" s="86"/>
      <c r="N295" s="74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</row>
    <row r="296" spans="1:31">
      <c r="A296" s="21"/>
      <c r="B296" s="21"/>
      <c r="C296" s="21"/>
      <c r="D296" s="21"/>
      <c r="E296" s="21"/>
      <c r="F296" s="21"/>
      <c r="G296" s="21"/>
      <c r="H296" s="21"/>
      <c r="I296" s="21"/>
      <c r="J296" s="86"/>
      <c r="K296" s="76"/>
      <c r="L296" s="21"/>
      <c r="M296" s="86"/>
      <c r="N296" s="74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</row>
    <row r="297" spans="1:31">
      <c r="A297" s="21"/>
      <c r="B297" s="21"/>
      <c r="C297" s="21"/>
      <c r="D297" s="21"/>
      <c r="E297" s="21"/>
      <c r="F297" s="21"/>
      <c r="G297" s="21"/>
      <c r="H297" s="21"/>
      <c r="I297" s="21"/>
      <c r="J297" s="86"/>
      <c r="K297" s="76"/>
      <c r="L297" s="21"/>
      <c r="M297" s="86"/>
      <c r="N297" s="74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</row>
    <row r="298" spans="1:31">
      <c r="A298" s="21"/>
      <c r="B298" s="21"/>
      <c r="C298" s="21"/>
      <c r="D298" s="21"/>
      <c r="E298" s="21"/>
      <c r="F298" s="21"/>
      <c r="G298" s="21"/>
      <c r="H298" s="21"/>
      <c r="I298" s="21"/>
      <c r="J298" s="86"/>
      <c r="K298" s="76"/>
      <c r="L298" s="21"/>
      <c r="M298" s="86"/>
      <c r="N298" s="74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</row>
    <row r="299" spans="1:31">
      <c r="A299" s="21"/>
      <c r="B299" s="21"/>
      <c r="C299" s="21"/>
      <c r="D299" s="21"/>
      <c r="E299" s="21"/>
      <c r="F299" s="21"/>
      <c r="G299" s="21"/>
      <c r="H299" s="21"/>
      <c r="I299" s="21"/>
      <c r="J299" s="86"/>
      <c r="K299" s="76"/>
      <c r="L299" s="21"/>
      <c r="M299" s="86"/>
      <c r="N299" s="74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</row>
    <row r="300" spans="1:31">
      <c r="A300" s="21"/>
      <c r="B300" s="21"/>
      <c r="C300" s="21"/>
      <c r="D300" s="21"/>
      <c r="E300" s="21"/>
      <c r="F300" s="21"/>
      <c r="G300" s="21"/>
      <c r="H300" s="21"/>
      <c r="I300" s="21"/>
      <c r="J300" s="86"/>
      <c r="K300" s="76"/>
      <c r="L300" s="21"/>
      <c r="M300" s="86"/>
      <c r="N300" s="74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</row>
    <row r="301" spans="1:31">
      <c r="A301" s="21"/>
      <c r="B301" s="21"/>
      <c r="C301" s="21"/>
      <c r="D301" s="21"/>
      <c r="E301" s="21"/>
      <c r="F301" s="21"/>
      <c r="G301" s="21"/>
      <c r="H301" s="21"/>
      <c r="I301" s="21"/>
      <c r="J301" s="86"/>
      <c r="K301" s="76"/>
      <c r="L301" s="21"/>
      <c r="M301" s="86"/>
      <c r="N301" s="74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</row>
    <row r="302" spans="1:31">
      <c r="A302" s="21"/>
      <c r="B302" s="21"/>
      <c r="C302" s="21"/>
      <c r="D302" s="21"/>
      <c r="E302" s="21"/>
      <c r="F302" s="21"/>
      <c r="G302" s="21"/>
      <c r="H302" s="21"/>
      <c r="I302" s="21"/>
      <c r="J302" s="86"/>
      <c r="K302" s="76"/>
      <c r="L302" s="21"/>
      <c r="M302" s="86"/>
      <c r="N302" s="74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</row>
    <row r="303" spans="1:31">
      <c r="A303" s="21"/>
      <c r="B303" s="21"/>
      <c r="C303" s="21"/>
      <c r="D303" s="21"/>
      <c r="E303" s="21"/>
      <c r="F303" s="21"/>
      <c r="G303" s="21"/>
      <c r="H303" s="21"/>
      <c r="I303" s="21"/>
      <c r="J303" s="86"/>
      <c r="K303" s="76"/>
      <c r="L303" s="21"/>
      <c r="M303" s="86"/>
      <c r="N303" s="74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</row>
    <row r="304" spans="1:31">
      <c r="A304" s="21"/>
      <c r="B304" s="21"/>
      <c r="C304" s="21"/>
      <c r="D304" s="21"/>
      <c r="E304" s="21"/>
      <c r="F304" s="21"/>
      <c r="G304" s="21"/>
      <c r="H304" s="21"/>
      <c r="I304" s="21"/>
      <c r="J304" s="86"/>
      <c r="K304" s="76"/>
      <c r="L304" s="21"/>
      <c r="M304" s="86"/>
      <c r="N304" s="74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</row>
    <row r="305" spans="1:31">
      <c r="A305" s="21"/>
      <c r="B305" s="21"/>
      <c r="C305" s="21"/>
      <c r="D305" s="21"/>
      <c r="E305" s="21"/>
      <c r="F305" s="21"/>
      <c r="G305" s="21"/>
      <c r="H305" s="21"/>
      <c r="I305" s="21"/>
      <c r="J305" s="86"/>
      <c r="K305" s="76"/>
      <c r="L305" s="21"/>
      <c r="M305" s="86"/>
      <c r="N305" s="74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</row>
    <row r="306" spans="1:31">
      <c r="A306" s="21"/>
      <c r="B306" s="21"/>
      <c r="C306" s="21"/>
      <c r="D306" s="21"/>
      <c r="E306" s="21"/>
      <c r="F306" s="21"/>
      <c r="G306" s="21"/>
      <c r="H306" s="21"/>
      <c r="I306" s="21"/>
      <c r="J306" s="86"/>
      <c r="K306" s="76"/>
      <c r="L306" s="21"/>
      <c r="M306" s="86"/>
      <c r="N306" s="74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</row>
    <row r="307" spans="1:31">
      <c r="A307" s="21"/>
      <c r="B307" s="21"/>
      <c r="C307" s="21"/>
      <c r="D307" s="21"/>
      <c r="E307" s="21"/>
      <c r="F307" s="21"/>
      <c r="G307" s="21"/>
      <c r="H307" s="21"/>
      <c r="I307" s="21"/>
      <c r="J307" s="86"/>
      <c r="K307" s="76"/>
      <c r="L307" s="21"/>
      <c r="M307" s="86"/>
      <c r="N307" s="74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</row>
    <row r="308" spans="1:31">
      <c r="A308" s="21"/>
      <c r="B308" s="21"/>
      <c r="C308" s="21"/>
      <c r="D308" s="21"/>
      <c r="E308" s="21"/>
      <c r="F308" s="21"/>
      <c r="G308" s="21"/>
      <c r="H308" s="21"/>
      <c r="I308" s="21"/>
      <c r="J308" s="86"/>
      <c r="K308" s="76"/>
      <c r="L308" s="21"/>
      <c r="M308" s="86"/>
      <c r="N308" s="74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</row>
    <row r="309" spans="1:31">
      <c r="A309" s="21"/>
      <c r="B309" s="21"/>
      <c r="C309" s="21"/>
      <c r="D309" s="21"/>
      <c r="E309" s="21"/>
      <c r="F309" s="21"/>
      <c r="G309" s="21"/>
      <c r="H309" s="21"/>
      <c r="I309" s="21"/>
      <c r="J309" s="86"/>
      <c r="K309" s="76"/>
      <c r="L309" s="21"/>
      <c r="M309" s="86"/>
      <c r="N309" s="74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</row>
    <row r="310" spans="1:31">
      <c r="A310" s="21"/>
      <c r="B310" s="21"/>
      <c r="C310" s="21"/>
      <c r="D310" s="21"/>
      <c r="E310" s="21"/>
      <c r="F310" s="21"/>
      <c r="G310" s="21"/>
      <c r="H310" s="21"/>
      <c r="I310" s="21"/>
      <c r="J310" s="86"/>
      <c r="K310" s="76"/>
      <c r="L310" s="21"/>
      <c r="M310" s="86"/>
      <c r="N310" s="74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</row>
    <row r="311" spans="1:31">
      <c r="A311" s="21"/>
      <c r="B311" s="21"/>
      <c r="C311" s="21"/>
      <c r="D311" s="21"/>
      <c r="E311" s="21"/>
      <c r="F311" s="21"/>
      <c r="G311" s="21"/>
      <c r="H311" s="21"/>
      <c r="I311" s="21"/>
      <c r="J311" s="86"/>
      <c r="K311" s="76"/>
      <c r="L311" s="21"/>
      <c r="M311" s="86"/>
      <c r="N311" s="74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</row>
    <row r="312" spans="1:31">
      <c r="A312" s="21"/>
      <c r="B312" s="21"/>
      <c r="C312" s="21"/>
      <c r="D312" s="21"/>
      <c r="E312" s="21"/>
      <c r="F312" s="21"/>
      <c r="G312" s="21"/>
      <c r="H312" s="21"/>
      <c r="I312" s="21"/>
      <c r="J312" s="86"/>
      <c r="K312" s="76"/>
      <c r="L312" s="21"/>
      <c r="M312" s="86"/>
      <c r="N312" s="74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</row>
    <row r="313" spans="1:31">
      <c r="A313" s="21"/>
      <c r="B313" s="21"/>
      <c r="C313" s="21"/>
      <c r="D313" s="21"/>
      <c r="E313" s="21"/>
      <c r="F313" s="21"/>
      <c r="G313" s="21"/>
      <c r="H313" s="21"/>
      <c r="I313" s="21"/>
      <c r="J313" s="86"/>
      <c r="K313" s="76"/>
      <c r="L313" s="21"/>
      <c r="M313" s="86"/>
      <c r="N313" s="74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</row>
    <row r="314" spans="1:31">
      <c r="A314" s="21"/>
      <c r="B314" s="21"/>
      <c r="C314" s="21"/>
      <c r="D314" s="21"/>
      <c r="E314" s="21"/>
      <c r="F314" s="21"/>
      <c r="G314" s="21"/>
      <c r="H314" s="21"/>
      <c r="I314" s="21"/>
      <c r="J314" s="86"/>
      <c r="K314" s="76"/>
      <c r="L314" s="21"/>
      <c r="M314" s="86"/>
      <c r="N314" s="74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</row>
    <row r="315" spans="1:31">
      <c r="A315" s="21"/>
      <c r="B315" s="21"/>
      <c r="C315" s="21"/>
      <c r="D315" s="21"/>
      <c r="E315" s="21"/>
      <c r="F315" s="21"/>
      <c r="G315" s="21"/>
      <c r="H315" s="21"/>
      <c r="I315" s="21"/>
      <c r="J315" s="86"/>
      <c r="K315" s="76"/>
      <c r="L315" s="21"/>
      <c r="M315" s="86"/>
      <c r="N315" s="74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</row>
    <row r="316" spans="1:31">
      <c r="A316" s="21"/>
      <c r="B316" s="21"/>
      <c r="C316" s="21"/>
      <c r="D316" s="21"/>
      <c r="E316" s="21"/>
      <c r="F316" s="21"/>
      <c r="G316" s="21"/>
      <c r="H316" s="21"/>
      <c r="I316" s="21"/>
      <c r="J316" s="86"/>
      <c r="K316" s="76"/>
      <c r="L316" s="21"/>
      <c r="M316" s="86"/>
      <c r="N316" s="74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</row>
    <row r="317" spans="1:31">
      <c r="A317" s="21"/>
      <c r="B317" s="21"/>
      <c r="C317" s="21"/>
      <c r="D317" s="21"/>
      <c r="E317" s="21"/>
      <c r="F317" s="21"/>
      <c r="G317" s="21"/>
      <c r="H317" s="21"/>
      <c r="I317" s="21"/>
      <c r="J317" s="86"/>
      <c r="K317" s="76"/>
      <c r="L317" s="21"/>
      <c r="M317" s="86"/>
      <c r="N317" s="74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</row>
    <row r="318" spans="1:31">
      <c r="A318" s="21"/>
      <c r="B318" s="21"/>
      <c r="C318" s="21"/>
      <c r="D318" s="21"/>
      <c r="E318" s="21"/>
      <c r="F318" s="21"/>
      <c r="G318" s="21"/>
      <c r="H318" s="21"/>
      <c r="I318" s="21"/>
      <c r="J318" s="86"/>
      <c r="K318" s="76"/>
      <c r="L318" s="21"/>
      <c r="M318" s="86"/>
      <c r="N318" s="74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</row>
    <row r="319" spans="1:31">
      <c r="A319" s="21"/>
      <c r="B319" s="21"/>
      <c r="C319" s="21"/>
      <c r="D319" s="21"/>
      <c r="E319" s="21"/>
      <c r="F319" s="21"/>
      <c r="G319" s="21"/>
      <c r="H319" s="21"/>
      <c r="I319" s="21"/>
      <c r="J319" s="86"/>
      <c r="K319" s="76"/>
      <c r="L319" s="21"/>
      <c r="M319" s="86"/>
      <c r="N319" s="74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</row>
    <row r="320" spans="1:31">
      <c r="A320" s="21"/>
      <c r="B320" s="21"/>
      <c r="C320" s="21"/>
      <c r="D320" s="21"/>
      <c r="E320" s="21"/>
      <c r="F320" s="21"/>
      <c r="G320" s="21"/>
      <c r="H320" s="21"/>
      <c r="I320" s="21"/>
      <c r="J320" s="86"/>
      <c r="K320" s="76"/>
      <c r="L320" s="21"/>
      <c r="M320" s="86"/>
      <c r="N320" s="74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</row>
    <row r="321" spans="1:31">
      <c r="A321" s="21"/>
      <c r="B321" s="21"/>
      <c r="C321" s="21"/>
      <c r="D321" s="21"/>
      <c r="E321" s="21"/>
      <c r="F321" s="21"/>
      <c r="G321" s="21"/>
      <c r="H321" s="21"/>
      <c r="I321" s="21"/>
      <c r="J321" s="86"/>
      <c r="K321" s="76"/>
      <c r="L321" s="21"/>
      <c r="M321" s="86"/>
      <c r="N321" s="74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</row>
    <row r="322" spans="1:31">
      <c r="A322" s="21"/>
      <c r="B322" s="21"/>
      <c r="C322" s="21"/>
      <c r="D322" s="21"/>
      <c r="E322" s="21"/>
      <c r="F322" s="21"/>
      <c r="G322" s="21"/>
      <c r="H322" s="21"/>
      <c r="I322" s="21"/>
      <c r="J322" s="86"/>
      <c r="K322" s="76"/>
      <c r="L322" s="21"/>
      <c r="M322" s="86"/>
      <c r="N322" s="74"/>
      <c r="O322" s="21"/>
      <c r="P322" s="21"/>
      <c r="Q322" s="21"/>
      <c r="R322" s="21"/>
      <c r="S322" s="21"/>
      <c r="T322" s="21"/>
      <c r="U322" s="21"/>
      <c r="V322" s="21"/>
      <c r="W322" s="21"/>
    </row>
    <row r="323" spans="1:31">
      <c r="A323" s="21"/>
      <c r="B323" s="21"/>
      <c r="C323" s="21"/>
      <c r="D323" s="21"/>
      <c r="E323" s="21"/>
      <c r="F323" s="21"/>
      <c r="G323" s="21"/>
      <c r="H323" s="21"/>
      <c r="I323" s="21"/>
      <c r="J323" s="86"/>
      <c r="K323" s="76"/>
      <c r="L323" s="21"/>
      <c r="M323" s="86"/>
      <c r="N323" s="74"/>
      <c r="O323" s="21"/>
      <c r="P323" s="21"/>
      <c r="Q323" s="21"/>
      <c r="R323" s="21"/>
      <c r="S323" s="21"/>
      <c r="T323" s="21"/>
      <c r="U323" s="21"/>
      <c r="V323" s="21"/>
      <c r="W323" s="21"/>
    </row>
    <row r="324" spans="1:31">
      <c r="A324" s="21"/>
      <c r="B324" s="21"/>
      <c r="C324" s="21"/>
      <c r="D324" s="21"/>
      <c r="E324" s="21"/>
      <c r="F324" s="21"/>
      <c r="G324" s="21"/>
      <c r="H324" s="21"/>
      <c r="I324" s="21"/>
      <c r="J324" s="86"/>
      <c r="K324" s="76"/>
      <c r="L324" s="21"/>
      <c r="M324" s="86"/>
      <c r="N324" s="74"/>
      <c r="O324" s="21"/>
      <c r="P324" s="21"/>
      <c r="Q324" s="21"/>
      <c r="R324" s="21"/>
      <c r="S324" s="21"/>
      <c r="T324" s="21"/>
      <c r="U324" s="21"/>
      <c r="V324" s="21"/>
      <c r="W324" s="21"/>
    </row>
    <row r="325" spans="1:31">
      <c r="A325" s="21"/>
      <c r="B325" s="21"/>
      <c r="C325" s="21"/>
      <c r="D325" s="21"/>
      <c r="E325" s="21"/>
      <c r="F325" s="21"/>
      <c r="G325" s="21"/>
      <c r="H325" s="21"/>
      <c r="I325" s="21"/>
      <c r="J325" s="86"/>
      <c r="K325" s="76"/>
      <c r="L325" s="21"/>
      <c r="M325" s="86"/>
      <c r="N325" s="74"/>
      <c r="O325" s="21"/>
      <c r="P325" s="21"/>
      <c r="Q325" s="21"/>
      <c r="R325" s="21"/>
      <c r="S325" s="21"/>
      <c r="T325" s="21"/>
      <c r="U325" s="21"/>
      <c r="V325" s="21"/>
      <c r="W325" s="21"/>
    </row>
    <row r="326" spans="1:31">
      <c r="A326" s="21"/>
      <c r="B326" s="21"/>
      <c r="C326" s="21"/>
      <c r="D326" s="21"/>
      <c r="E326" s="21"/>
      <c r="F326" s="21"/>
      <c r="G326" s="21"/>
      <c r="H326" s="21"/>
      <c r="I326" s="21"/>
      <c r="J326" s="86"/>
      <c r="K326" s="76"/>
      <c r="L326" s="21"/>
      <c r="M326" s="86"/>
      <c r="N326" s="74"/>
      <c r="O326" s="21"/>
      <c r="P326" s="21"/>
      <c r="Q326" s="21"/>
      <c r="R326" s="21"/>
      <c r="S326" s="21"/>
      <c r="T326" s="21"/>
      <c r="U326" s="21"/>
      <c r="V326" s="21"/>
      <c r="W326" s="21"/>
    </row>
    <row r="327" spans="1:31">
      <c r="A327" s="21"/>
      <c r="B327" s="21"/>
      <c r="C327" s="21"/>
      <c r="D327" s="21"/>
      <c r="E327" s="21"/>
      <c r="F327" s="21"/>
      <c r="G327" s="21"/>
      <c r="H327" s="21"/>
      <c r="I327" s="21"/>
      <c r="J327" s="86"/>
      <c r="K327" s="76"/>
      <c r="L327" s="21"/>
      <c r="M327" s="86"/>
      <c r="N327" s="74"/>
      <c r="O327" s="21"/>
      <c r="P327" s="21"/>
      <c r="Q327" s="21"/>
      <c r="R327" s="21"/>
      <c r="S327" s="21"/>
      <c r="T327" s="21"/>
      <c r="U327" s="21"/>
      <c r="V327" s="21"/>
      <c r="W327" s="21"/>
    </row>
    <row r="328" spans="1:31">
      <c r="A328" s="21"/>
      <c r="B328" s="21"/>
      <c r="C328" s="21"/>
      <c r="D328" s="21"/>
      <c r="E328" s="21"/>
      <c r="F328" s="21"/>
      <c r="G328" s="21"/>
      <c r="H328" s="21"/>
      <c r="I328" s="21"/>
      <c r="J328" s="86"/>
      <c r="K328" s="76"/>
      <c r="L328" s="21"/>
      <c r="M328" s="86"/>
      <c r="N328" s="74"/>
      <c r="O328" s="21"/>
      <c r="P328" s="21"/>
      <c r="Q328" s="21"/>
      <c r="R328" s="21"/>
      <c r="S328" s="21"/>
      <c r="T328" s="21"/>
      <c r="U328" s="21"/>
      <c r="V328" s="21"/>
      <c r="W328" s="21"/>
    </row>
    <row r="329" spans="1:31">
      <c r="A329" s="21"/>
      <c r="B329" s="21"/>
      <c r="C329" s="21"/>
      <c r="D329" s="21"/>
      <c r="E329" s="21"/>
      <c r="F329" s="21"/>
      <c r="G329" s="21"/>
      <c r="H329" s="21"/>
      <c r="I329" s="21"/>
      <c r="J329" s="86"/>
      <c r="K329" s="76"/>
      <c r="L329" s="21"/>
      <c r="M329" s="86"/>
      <c r="N329" s="74"/>
      <c r="O329" s="21"/>
      <c r="P329" s="21"/>
      <c r="Q329" s="21"/>
      <c r="R329" s="21"/>
      <c r="S329" s="21"/>
      <c r="T329" s="21"/>
      <c r="U329" s="21"/>
      <c r="V329" s="21"/>
      <c r="W329" s="21"/>
    </row>
    <row r="330" spans="1:31">
      <c r="A330" s="21"/>
      <c r="B330" s="21"/>
      <c r="C330" s="21"/>
      <c r="D330" s="21"/>
      <c r="E330" s="21"/>
      <c r="F330" s="21"/>
      <c r="G330" s="21"/>
      <c r="H330" s="21"/>
      <c r="I330" s="21"/>
      <c r="J330" s="86"/>
      <c r="K330" s="76"/>
      <c r="L330" s="21"/>
      <c r="M330" s="86"/>
      <c r="N330" s="74"/>
      <c r="O330" s="21"/>
      <c r="P330" s="21"/>
      <c r="Q330" s="21"/>
      <c r="R330" s="21"/>
      <c r="S330" s="21"/>
      <c r="T330" s="21"/>
      <c r="U330" s="21"/>
      <c r="V330" s="21"/>
      <c r="W330" s="21"/>
    </row>
    <row r="331" spans="1:31">
      <c r="A331" s="21"/>
      <c r="B331" s="21"/>
      <c r="C331" s="21"/>
      <c r="D331" s="21"/>
      <c r="E331" s="21"/>
      <c r="F331" s="21"/>
      <c r="G331" s="21"/>
      <c r="H331" s="21"/>
      <c r="I331" s="21"/>
      <c r="J331" s="86"/>
      <c r="K331" s="76"/>
      <c r="L331" s="21"/>
      <c r="M331" s="86"/>
      <c r="N331" s="74"/>
      <c r="O331" s="21"/>
      <c r="P331" s="21"/>
      <c r="Q331" s="21"/>
      <c r="R331" s="21"/>
      <c r="S331" s="21"/>
      <c r="T331" s="21"/>
      <c r="U331" s="21"/>
      <c r="V331" s="21"/>
      <c r="W331" s="21"/>
    </row>
    <row r="332" spans="1:31">
      <c r="A332" s="21"/>
      <c r="B332" s="21"/>
      <c r="C332" s="21"/>
      <c r="D332" s="21"/>
      <c r="E332" s="21"/>
      <c r="F332" s="21"/>
      <c r="G332" s="21"/>
      <c r="H332" s="21"/>
      <c r="I332" s="21"/>
      <c r="J332" s="86"/>
      <c r="K332" s="76"/>
      <c r="L332" s="21"/>
      <c r="M332" s="86"/>
      <c r="N332" s="74"/>
      <c r="O332" s="21"/>
      <c r="P332" s="21"/>
      <c r="Q332" s="21"/>
      <c r="R332" s="21"/>
      <c r="S332" s="21"/>
      <c r="T332" s="21"/>
      <c r="U332" s="21"/>
      <c r="V332" s="21"/>
      <c r="W332" s="21"/>
    </row>
    <row r="333" spans="1:31">
      <c r="A333" s="21"/>
      <c r="B333" s="21"/>
      <c r="C333" s="21"/>
      <c r="D333" s="21"/>
      <c r="E333" s="21"/>
      <c r="F333" s="21"/>
      <c r="G333" s="21"/>
      <c r="H333" s="21"/>
      <c r="I333" s="21"/>
      <c r="J333" s="86"/>
      <c r="K333" s="76"/>
      <c r="L333" s="21"/>
      <c r="M333" s="86"/>
      <c r="N333" s="74"/>
      <c r="O333" s="21"/>
      <c r="P333" s="21"/>
      <c r="Q333" s="21"/>
      <c r="R333" s="21"/>
      <c r="S333" s="21"/>
      <c r="T333" s="21"/>
      <c r="U333" s="21"/>
      <c r="V333" s="21"/>
      <c r="W333" s="21"/>
    </row>
    <row r="334" spans="1:31">
      <c r="A334" s="21"/>
      <c r="B334" s="21"/>
      <c r="C334" s="21"/>
      <c r="D334" s="21"/>
      <c r="E334" s="21"/>
      <c r="F334" s="21"/>
      <c r="G334" s="21"/>
      <c r="H334" s="21"/>
      <c r="I334" s="21"/>
      <c r="J334" s="86"/>
      <c r="K334" s="76"/>
      <c r="L334" s="21"/>
      <c r="M334" s="86"/>
      <c r="N334" s="74"/>
      <c r="O334" s="21"/>
      <c r="P334" s="21"/>
      <c r="Q334" s="21"/>
      <c r="R334" s="21"/>
      <c r="S334" s="21"/>
      <c r="T334" s="21"/>
      <c r="U334" s="21"/>
      <c r="V334" s="21"/>
      <c r="W334" s="21"/>
    </row>
    <row r="335" spans="1:31">
      <c r="A335" s="21"/>
      <c r="B335" s="21"/>
      <c r="C335" s="21"/>
      <c r="D335" s="21"/>
      <c r="E335" s="21"/>
      <c r="F335" s="21"/>
      <c r="G335" s="21"/>
      <c r="H335" s="21"/>
      <c r="I335" s="21"/>
      <c r="J335" s="86"/>
      <c r="K335" s="76"/>
      <c r="L335" s="21"/>
      <c r="M335" s="86"/>
      <c r="N335" s="74"/>
      <c r="O335" s="21"/>
      <c r="P335" s="21"/>
      <c r="Q335" s="21"/>
      <c r="R335" s="21"/>
      <c r="S335" s="21"/>
      <c r="T335" s="21"/>
      <c r="U335" s="21"/>
      <c r="V335" s="21"/>
      <c r="W335" s="21"/>
    </row>
    <row r="336" spans="1:31">
      <c r="A336" s="21"/>
      <c r="B336" s="21"/>
      <c r="C336" s="21"/>
      <c r="D336" s="21"/>
      <c r="E336" s="21"/>
      <c r="F336" s="21"/>
      <c r="G336" s="21"/>
      <c r="H336" s="21"/>
      <c r="I336" s="21"/>
      <c r="J336" s="86"/>
      <c r="K336" s="76"/>
      <c r="L336" s="21"/>
      <c r="M336" s="86"/>
      <c r="N336" s="74"/>
      <c r="O336" s="21"/>
      <c r="P336" s="21"/>
      <c r="Q336" s="21"/>
      <c r="R336" s="21"/>
      <c r="S336" s="21"/>
      <c r="T336" s="21"/>
      <c r="U336" s="21"/>
      <c r="V336" s="21"/>
      <c r="W336" s="21"/>
    </row>
    <row r="337" spans="1:23">
      <c r="A337" s="21"/>
      <c r="B337" s="21"/>
      <c r="C337" s="21"/>
      <c r="D337" s="21"/>
      <c r="E337" s="21"/>
      <c r="F337" s="21"/>
      <c r="G337" s="21"/>
      <c r="H337" s="21"/>
      <c r="I337" s="21"/>
      <c r="J337" s="86"/>
      <c r="K337" s="76"/>
      <c r="L337" s="21"/>
      <c r="M337" s="86"/>
      <c r="N337" s="74"/>
      <c r="O337" s="21"/>
      <c r="P337" s="21"/>
      <c r="Q337" s="21"/>
      <c r="R337" s="21"/>
      <c r="S337" s="21"/>
      <c r="T337" s="21"/>
      <c r="U337" s="21"/>
      <c r="V337" s="21"/>
      <c r="W337" s="21"/>
    </row>
    <row r="338" spans="1:23">
      <c r="A338" s="21"/>
      <c r="B338" s="21"/>
      <c r="C338" s="21"/>
      <c r="D338" s="21"/>
      <c r="E338" s="21"/>
      <c r="F338" s="21"/>
      <c r="G338" s="21"/>
      <c r="H338" s="21"/>
      <c r="I338" s="21"/>
      <c r="J338" s="86"/>
      <c r="K338" s="76"/>
      <c r="L338" s="21"/>
      <c r="M338" s="86"/>
      <c r="N338" s="74"/>
      <c r="O338" s="21"/>
      <c r="P338" s="21"/>
      <c r="Q338" s="21"/>
      <c r="R338" s="21"/>
      <c r="S338" s="21"/>
      <c r="T338" s="21"/>
      <c r="U338" s="21"/>
      <c r="V338" s="21"/>
      <c r="W338" s="21"/>
    </row>
    <row r="339" spans="1:23">
      <c r="A339" s="21"/>
      <c r="B339" s="21"/>
      <c r="C339" s="21"/>
      <c r="D339" s="21"/>
      <c r="E339" s="21"/>
      <c r="F339" s="21"/>
      <c r="G339" s="21"/>
      <c r="H339" s="21"/>
      <c r="I339" s="21"/>
      <c r="J339" s="86"/>
      <c r="K339" s="76"/>
      <c r="L339" s="21"/>
      <c r="M339" s="86"/>
      <c r="N339" s="74"/>
      <c r="O339" s="21"/>
      <c r="P339" s="21"/>
      <c r="Q339" s="21"/>
      <c r="R339" s="21"/>
      <c r="S339" s="21"/>
      <c r="T339" s="21"/>
      <c r="U339" s="21"/>
      <c r="V339" s="21"/>
      <c r="W339" s="21"/>
    </row>
    <row r="340" spans="1:23">
      <c r="A340" s="21"/>
      <c r="B340" s="21"/>
      <c r="C340" s="21"/>
      <c r="D340" s="21"/>
      <c r="E340" s="21"/>
      <c r="F340" s="21"/>
      <c r="G340" s="21"/>
      <c r="H340" s="21"/>
      <c r="I340" s="21"/>
      <c r="J340" s="86"/>
      <c r="K340" s="76"/>
      <c r="L340" s="21"/>
      <c r="M340" s="86"/>
      <c r="N340" s="74"/>
      <c r="O340" s="21"/>
      <c r="P340" s="21"/>
      <c r="Q340" s="21"/>
      <c r="R340" s="21"/>
      <c r="S340" s="21"/>
      <c r="T340" s="21"/>
      <c r="U340" s="21"/>
      <c r="V340" s="21"/>
      <c r="W340" s="21"/>
    </row>
    <row r="341" spans="1:23">
      <c r="A341" s="21"/>
      <c r="B341" s="21"/>
      <c r="C341" s="21"/>
      <c r="D341" s="21"/>
      <c r="E341" s="21"/>
      <c r="F341" s="21"/>
      <c r="G341" s="21"/>
      <c r="H341" s="21"/>
      <c r="I341" s="21"/>
      <c r="J341" s="86"/>
      <c r="K341" s="76"/>
      <c r="L341" s="21"/>
      <c r="M341" s="86"/>
      <c r="N341" s="74"/>
      <c r="O341" s="21"/>
      <c r="P341" s="21"/>
      <c r="Q341" s="21"/>
      <c r="R341" s="21"/>
      <c r="S341" s="21"/>
      <c r="T341" s="21"/>
      <c r="U341" s="21"/>
      <c r="V341" s="21"/>
      <c r="W341" s="21"/>
    </row>
    <row r="342" spans="1:23">
      <c r="A342" s="21"/>
      <c r="B342" s="21"/>
      <c r="C342" s="21"/>
      <c r="D342" s="21"/>
      <c r="E342" s="21"/>
      <c r="F342" s="21"/>
      <c r="G342" s="21"/>
      <c r="H342" s="21"/>
      <c r="I342" s="21"/>
      <c r="J342" s="86"/>
      <c r="K342" s="76"/>
      <c r="L342" s="21"/>
      <c r="M342" s="86"/>
      <c r="N342" s="74"/>
      <c r="O342" s="21"/>
      <c r="P342" s="21"/>
      <c r="Q342" s="21"/>
      <c r="R342" s="21"/>
      <c r="S342" s="21"/>
      <c r="T342" s="21"/>
      <c r="U342" s="21"/>
      <c r="V342" s="21"/>
      <c r="W342" s="21"/>
    </row>
    <row r="343" spans="1:23">
      <c r="A343" s="21"/>
      <c r="B343" s="21"/>
      <c r="C343" s="21"/>
      <c r="D343" s="21"/>
      <c r="E343" s="21"/>
      <c r="F343" s="21"/>
      <c r="G343" s="21"/>
      <c r="H343" s="21"/>
      <c r="I343" s="21"/>
      <c r="J343" s="86"/>
      <c r="K343" s="76"/>
      <c r="L343" s="21"/>
      <c r="M343" s="86"/>
      <c r="N343" s="74"/>
      <c r="O343" s="21"/>
      <c r="P343" s="21"/>
      <c r="Q343" s="21"/>
      <c r="R343" s="21"/>
      <c r="S343" s="21"/>
      <c r="T343" s="21"/>
      <c r="U343" s="21"/>
      <c r="V343" s="21"/>
      <c r="W343" s="21"/>
    </row>
    <row r="344" spans="1:23">
      <c r="A344" s="21"/>
      <c r="B344" s="21"/>
      <c r="C344" s="21"/>
      <c r="D344" s="21"/>
      <c r="E344" s="21"/>
      <c r="F344" s="21"/>
      <c r="G344" s="21"/>
      <c r="H344" s="21"/>
      <c r="I344" s="21"/>
      <c r="J344" s="86"/>
      <c r="K344" s="76"/>
      <c r="L344" s="21"/>
      <c r="M344" s="86"/>
      <c r="N344" s="74"/>
      <c r="O344" s="21"/>
      <c r="P344" s="21"/>
      <c r="Q344" s="21"/>
      <c r="R344" s="21"/>
      <c r="S344" s="21"/>
      <c r="T344" s="21"/>
      <c r="U344" s="21"/>
      <c r="V344" s="21"/>
      <c r="W344" s="21"/>
    </row>
    <row r="345" spans="1:23">
      <c r="A345" s="21"/>
      <c r="B345" s="21"/>
      <c r="C345" s="21"/>
      <c r="D345" s="21"/>
      <c r="E345" s="21"/>
      <c r="F345" s="21"/>
      <c r="G345" s="21"/>
      <c r="H345" s="21"/>
      <c r="I345" s="21"/>
      <c r="J345" s="86"/>
      <c r="K345" s="76"/>
      <c r="L345" s="21"/>
      <c r="M345" s="86"/>
      <c r="N345" s="74"/>
      <c r="O345" s="21"/>
      <c r="P345" s="21"/>
      <c r="Q345" s="21"/>
      <c r="R345" s="21"/>
      <c r="S345" s="21"/>
      <c r="T345" s="21"/>
      <c r="U345" s="21"/>
      <c r="V345" s="21"/>
      <c r="W345" s="21"/>
    </row>
    <row r="346" spans="1:23">
      <c r="A346" s="21"/>
      <c r="B346" s="21"/>
      <c r="C346" s="21"/>
      <c r="D346" s="21"/>
      <c r="E346" s="21"/>
      <c r="F346" s="21"/>
      <c r="G346" s="21"/>
      <c r="H346" s="21"/>
      <c r="I346" s="21"/>
      <c r="J346" s="86"/>
      <c r="K346" s="76"/>
      <c r="L346" s="21"/>
      <c r="M346" s="86"/>
      <c r="N346" s="74"/>
      <c r="O346" s="21"/>
      <c r="P346" s="21"/>
      <c r="Q346" s="21"/>
      <c r="R346" s="21"/>
      <c r="S346" s="21"/>
      <c r="T346" s="21"/>
      <c r="U346" s="21"/>
      <c r="V346" s="21"/>
      <c r="W346" s="21"/>
    </row>
    <row r="347" spans="1:23">
      <c r="A347" s="21"/>
      <c r="B347" s="21"/>
      <c r="C347" s="21"/>
      <c r="D347" s="21"/>
      <c r="E347" s="21"/>
      <c r="F347" s="21"/>
      <c r="G347" s="21"/>
      <c r="H347" s="21"/>
      <c r="I347" s="21"/>
      <c r="J347" s="86"/>
      <c r="K347" s="76"/>
      <c r="L347" s="21"/>
      <c r="M347" s="86"/>
      <c r="N347" s="74"/>
      <c r="O347" s="21"/>
      <c r="P347" s="21"/>
      <c r="Q347" s="21"/>
      <c r="R347" s="21"/>
      <c r="S347" s="21"/>
      <c r="T347" s="21"/>
      <c r="U347" s="21"/>
      <c r="V347" s="21"/>
      <c r="W347" s="21"/>
    </row>
    <row r="348" spans="1:23">
      <c r="A348" s="21"/>
      <c r="B348" s="21"/>
      <c r="C348" s="21"/>
      <c r="D348" s="21"/>
      <c r="E348" s="21"/>
      <c r="F348" s="21"/>
      <c r="G348" s="21"/>
      <c r="H348" s="21"/>
      <c r="I348" s="21"/>
      <c r="J348" s="86"/>
      <c r="K348" s="76"/>
      <c r="L348" s="21"/>
      <c r="M348" s="86"/>
      <c r="N348" s="74"/>
      <c r="O348" s="21"/>
      <c r="P348" s="21"/>
      <c r="Q348" s="21"/>
      <c r="R348" s="21"/>
      <c r="S348" s="21"/>
      <c r="T348" s="21"/>
      <c r="U348" s="21"/>
      <c r="V348" s="21"/>
      <c r="W348" s="21"/>
    </row>
    <row r="349" spans="1:23">
      <c r="A349" s="21"/>
      <c r="B349" s="21"/>
      <c r="C349" s="21"/>
      <c r="D349" s="21"/>
      <c r="E349" s="21"/>
      <c r="F349" s="21"/>
      <c r="G349" s="21"/>
      <c r="H349" s="21"/>
      <c r="I349" s="21"/>
      <c r="J349" s="86"/>
      <c r="K349" s="76"/>
      <c r="L349" s="21"/>
      <c r="M349" s="86"/>
      <c r="N349" s="74"/>
      <c r="O349" s="21"/>
      <c r="P349" s="21"/>
      <c r="Q349" s="21"/>
      <c r="R349" s="21"/>
      <c r="S349" s="21"/>
      <c r="T349" s="21"/>
      <c r="U349" s="21"/>
      <c r="V349" s="21"/>
      <c r="W349" s="21"/>
    </row>
    <row r="350" spans="1:23">
      <c r="A350" s="21"/>
      <c r="B350" s="21"/>
      <c r="C350" s="21"/>
      <c r="D350" s="21"/>
      <c r="E350" s="21"/>
      <c r="F350" s="21"/>
      <c r="G350" s="21"/>
      <c r="H350" s="21"/>
      <c r="I350" s="21"/>
      <c r="J350" s="86"/>
      <c r="K350" s="76"/>
      <c r="L350" s="21"/>
      <c r="M350" s="86"/>
      <c r="N350" s="74"/>
      <c r="O350" s="21"/>
      <c r="P350" s="21"/>
      <c r="Q350" s="21"/>
      <c r="R350" s="21"/>
      <c r="S350" s="21"/>
      <c r="T350" s="21"/>
      <c r="U350" s="21"/>
      <c r="V350" s="21"/>
      <c r="W350" s="21"/>
    </row>
    <row r="351" spans="1:23">
      <c r="A351" s="21"/>
      <c r="B351" s="21"/>
      <c r="C351" s="21"/>
      <c r="D351" s="21"/>
      <c r="E351" s="21"/>
      <c r="F351" s="21"/>
      <c r="G351" s="21"/>
      <c r="H351" s="21"/>
      <c r="I351" s="21"/>
      <c r="J351" s="86"/>
      <c r="K351" s="76"/>
      <c r="L351" s="21"/>
      <c r="M351" s="86"/>
      <c r="N351" s="74"/>
      <c r="O351" s="21"/>
      <c r="P351" s="21"/>
      <c r="Q351" s="21"/>
      <c r="R351" s="21"/>
      <c r="S351" s="21"/>
      <c r="T351" s="21"/>
      <c r="U351" s="21"/>
      <c r="V351" s="21"/>
      <c r="W351" s="21"/>
    </row>
    <row r="352" spans="1:23">
      <c r="A352" s="21"/>
      <c r="B352" s="21"/>
      <c r="C352" s="21"/>
      <c r="D352" s="21"/>
      <c r="E352" s="21"/>
      <c r="F352" s="21"/>
      <c r="G352" s="21"/>
      <c r="H352" s="21"/>
      <c r="I352" s="21"/>
      <c r="J352" s="86"/>
      <c r="K352" s="76"/>
      <c r="L352" s="21"/>
      <c r="M352" s="86"/>
      <c r="N352" s="74"/>
      <c r="O352" s="21"/>
      <c r="P352" s="21"/>
      <c r="Q352" s="21"/>
      <c r="R352" s="21"/>
      <c r="S352" s="21"/>
      <c r="T352" s="21"/>
      <c r="U352" s="21"/>
      <c r="V352" s="21"/>
      <c r="W352" s="21"/>
    </row>
    <row r="353" spans="1:23">
      <c r="A353" s="21"/>
      <c r="B353" s="21"/>
      <c r="C353" s="21"/>
      <c r="D353" s="21"/>
      <c r="E353" s="21"/>
      <c r="F353" s="21"/>
      <c r="G353" s="21"/>
      <c r="H353" s="21"/>
      <c r="I353" s="21"/>
      <c r="J353" s="86"/>
      <c r="K353" s="76"/>
      <c r="L353" s="21"/>
      <c r="M353" s="86"/>
      <c r="N353" s="74"/>
      <c r="O353" s="21"/>
      <c r="P353" s="21"/>
      <c r="Q353" s="21"/>
      <c r="R353" s="21"/>
      <c r="S353" s="21"/>
      <c r="T353" s="21"/>
      <c r="U353" s="21"/>
      <c r="V353" s="21"/>
      <c r="W353" s="21"/>
    </row>
    <row r="354" spans="1:23">
      <c r="A354" s="21"/>
      <c r="B354" s="21"/>
      <c r="C354" s="21"/>
      <c r="D354" s="21"/>
      <c r="E354" s="21"/>
      <c r="F354" s="21"/>
      <c r="G354" s="21"/>
      <c r="H354" s="21"/>
      <c r="I354" s="21"/>
      <c r="J354" s="86"/>
      <c r="K354" s="76"/>
      <c r="L354" s="21"/>
      <c r="M354" s="86"/>
      <c r="N354" s="74"/>
      <c r="O354" s="21"/>
      <c r="P354" s="21"/>
      <c r="Q354" s="21"/>
      <c r="R354" s="21"/>
      <c r="S354" s="21"/>
      <c r="T354" s="21"/>
      <c r="U354" s="21"/>
      <c r="V354" s="21"/>
      <c r="W354" s="21"/>
    </row>
    <row r="355" spans="1:23">
      <c r="A355" s="21"/>
      <c r="B355" s="21"/>
      <c r="C355" s="21"/>
      <c r="D355" s="21"/>
      <c r="E355" s="21"/>
      <c r="F355" s="21"/>
      <c r="G355" s="21"/>
      <c r="H355" s="21"/>
      <c r="I355" s="21"/>
      <c r="J355" s="86"/>
      <c r="K355" s="76"/>
      <c r="L355" s="21"/>
      <c r="M355" s="86"/>
      <c r="N355" s="74"/>
      <c r="O355" s="21"/>
      <c r="P355" s="21"/>
      <c r="Q355" s="21"/>
      <c r="R355" s="21"/>
      <c r="S355" s="21"/>
      <c r="T355" s="21"/>
      <c r="U355" s="21"/>
      <c r="V355" s="21"/>
      <c r="W355" s="21"/>
    </row>
    <row r="356" spans="1:23">
      <c r="A356" s="21"/>
      <c r="B356" s="21"/>
      <c r="C356" s="21"/>
      <c r="D356" s="21"/>
      <c r="E356" s="21"/>
      <c r="F356" s="21"/>
      <c r="G356" s="21"/>
      <c r="H356" s="21"/>
      <c r="I356" s="21"/>
      <c r="J356" s="86"/>
      <c r="K356" s="76"/>
      <c r="L356" s="21"/>
      <c r="M356" s="86"/>
      <c r="N356" s="74"/>
      <c r="O356" s="21"/>
      <c r="P356" s="21"/>
      <c r="Q356" s="21"/>
      <c r="R356" s="21"/>
      <c r="S356" s="21"/>
      <c r="T356" s="21"/>
      <c r="U356" s="21"/>
      <c r="V356" s="21"/>
      <c r="W356" s="21"/>
    </row>
    <row r="357" spans="1:23">
      <c r="A357" s="21"/>
      <c r="B357" s="21"/>
      <c r="C357" s="21"/>
      <c r="D357" s="21"/>
      <c r="E357" s="21"/>
      <c r="F357" s="21"/>
      <c r="G357" s="21"/>
      <c r="H357" s="21"/>
      <c r="I357" s="21"/>
      <c r="J357" s="86"/>
      <c r="K357" s="76"/>
      <c r="L357" s="21"/>
      <c r="M357" s="86"/>
      <c r="N357" s="74"/>
      <c r="O357" s="21"/>
      <c r="P357" s="21"/>
      <c r="Q357" s="21"/>
      <c r="R357" s="21"/>
      <c r="S357" s="21"/>
      <c r="T357" s="21"/>
      <c r="U357" s="21"/>
      <c r="V357" s="21"/>
      <c r="W357" s="21"/>
    </row>
    <row r="358" spans="1:23">
      <c r="A358" s="21"/>
      <c r="B358" s="21"/>
      <c r="C358" s="21"/>
      <c r="D358" s="21"/>
      <c r="E358" s="21"/>
      <c r="F358" s="21"/>
      <c r="G358" s="21"/>
      <c r="H358" s="21"/>
      <c r="I358" s="21"/>
      <c r="J358" s="86"/>
      <c r="K358" s="76"/>
      <c r="L358" s="21"/>
      <c r="M358" s="86"/>
      <c r="N358" s="74"/>
      <c r="O358" s="21"/>
      <c r="P358" s="21"/>
      <c r="Q358" s="21"/>
      <c r="R358" s="21"/>
      <c r="S358" s="21"/>
      <c r="T358" s="21"/>
      <c r="U358" s="21"/>
      <c r="V358" s="21"/>
      <c r="W358" s="21"/>
    </row>
    <row r="359" spans="1:23">
      <c r="A359" s="21"/>
      <c r="B359" s="21"/>
      <c r="C359" s="21"/>
      <c r="D359" s="21"/>
      <c r="E359" s="21"/>
      <c r="F359" s="21"/>
      <c r="G359" s="21"/>
      <c r="H359" s="21"/>
      <c r="I359" s="21"/>
      <c r="J359" s="86"/>
      <c r="K359" s="76"/>
      <c r="L359" s="21"/>
      <c r="M359" s="86"/>
      <c r="N359" s="74"/>
      <c r="O359" s="21"/>
      <c r="P359" s="21"/>
      <c r="Q359" s="21"/>
      <c r="R359" s="21"/>
      <c r="S359" s="21"/>
      <c r="T359" s="21"/>
      <c r="U359" s="21"/>
      <c r="V359" s="21"/>
      <c r="W359" s="21"/>
    </row>
    <row r="360" spans="1:23">
      <c r="A360" s="21"/>
      <c r="B360" s="21"/>
      <c r="C360" s="21"/>
      <c r="D360" s="21"/>
      <c r="E360" s="21"/>
      <c r="F360" s="21"/>
      <c r="G360" s="21"/>
      <c r="H360" s="21"/>
      <c r="I360" s="21"/>
      <c r="J360" s="86"/>
      <c r="K360" s="76"/>
      <c r="L360" s="21"/>
      <c r="M360" s="86"/>
      <c r="N360" s="74"/>
      <c r="O360" s="21"/>
      <c r="P360" s="21"/>
      <c r="Q360" s="21"/>
      <c r="R360" s="21"/>
      <c r="S360" s="21"/>
      <c r="T360" s="21"/>
      <c r="U360" s="21"/>
      <c r="V360" s="21"/>
      <c r="W360" s="21"/>
    </row>
    <row r="361" spans="1:23">
      <c r="A361" s="21"/>
      <c r="B361" s="21"/>
      <c r="C361" s="21"/>
      <c r="D361" s="21"/>
      <c r="E361" s="21"/>
      <c r="F361" s="21"/>
      <c r="G361" s="21"/>
      <c r="H361" s="21"/>
      <c r="I361" s="21"/>
      <c r="J361" s="86"/>
      <c r="K361" s="76"/>
      <c r="L361" s="21"/>
      <c r="M361" s="86"/>
      <c r="N361" s="74"/>
      <c r="O361" s="21"/>
      <c r="P361" s="21"/>
      <c r="Q361" s="21"/>
      <c r="R361" s="21"/>
      <c r="S361" s="21"/>
      <c r="T361" s="21"/>
      <c r="U361" s="21"/>
      <c r="V361" s="21"/>
      <c r="W361" s="21"/>
    </row>
    <row r="362" spans="1:23">
      <c r="A362" s="21"/>
      <c r="B362" s="21"/>
      <c r="C362" s="21"/>
      <c r="D362" s="21"/>
      <c r="E362" s="21"/>
      <c r="F362" s="21"/>
      <c r="G362" s="21"/>
      <c r="H362" s="21"/>
      <c r="I362" s="21"/>
      <c r="J362" s="86"/>
      <c r="K362" s="76"/>
      <c r="L362" s="21"/>
      <c r="M362" s="86"/>
      <c r="N362" s="74"/>
      <c r="O362" s="21"/>
      <c r="P362" s="21"/>
      <c r="Q362" s="21"/>
      <c r="R362" s="21"/>
      <c r="S362" s="21"/>
      <c r="T362" s="21"/>
      <c r="U362" s="21"/>
      <c r="V362" s="21"/>
      <c r="W362" s="21"/>
    </row>
    <row r="363" spans="1:23">
      <c r="A363" s="21"/>
      <c r="B363" s="21"/>
      <c r="C363" s="21"/>
      <c r="D363" s="21"/>
      <c r="E363" s="21"/>
      <c r="F363" s="21"/>
      <c r="G363" s="21"/>
      <c r="H363" s="21"/>
      <c r="I363" s="21"/>
      <c r="J363" s="86"/>
      <c r="K363" s="76"/>
      <c r="L363" s="21"/>
      <c r="M363" s="86"/>
      <c r="N363" s="74"/>
      <c r="O363" s="21"/>
      <c r="P363" s="21"/>
      <c r="Q363" s="21"/>
      <c r="R363" s="21"/>
      <c r="S363" s="21"/>
      <c r="T363" s="21"/>
      <c r="U363" s="21"/>
      <c r="V363" s="21"/>
      <c r="W363" s="21"/>
    </row>
    <row r="364" spans="1:23">
      <c r="A364" s="21"/>
      <c r="B364" s="21"/>
      <c r="C364" s="21"/>
      <c r="D364" s="21"/>
      <c r="E364" s="21"/>
      <c r="F364" s="21"/>
      <c r="G364" s="21"/>
      <c r="H364" s="21"/>
      <c r="I364" s="21"/>
      <c r="J364" s="86"/>
      <c r="K364" s="76"/>
      <c r="L364" s="21"/>
      <c r="M364" s="86"/>
      <c r="N364" s="74"/>
      <c r="O364" s="21"/>
      <c r="P364" s="21"/>
      <c r="Q364" s="21"/>
      <c r="R364" s="21"/>
      <c r="S364" s="21"/>
      <c r="T364" s="21"/>
      <c r="U364" s="21"/>
      <c r="V364" s="21"/>
      <c r="W364" s="21"/>
    </row>
    <row r="365" spans="1:23">
      <c r="A365" s="21"/>
      <c r="B365" s="21"/>
      <c r="C365" s="21"/>
      <c r="D365" s="21"/>
      <c r="E365" s="21"/>
      <c r="F365" s="21"/>
      <c r="G365" s="21"/>
      <c r="H365" s="21"/>
      <c r="I365" s="21"/>
      <c r="J365" s="86"/>
      <c r="K365" s="76"/>
      <c r="L365" s="21"/>
      <c r="M365" s="86"/>
      <c r="N365" s="74"/>
      <c r="O365" s="21"/>
      <c r="P365" s="21"/>
      <c r="Q365" s="21"/>
      <c r="R365" s="21"/>
      <c r="S365" s="21"/>
      <c r="T365" s="21"/>
      <c r="U365" s="21"/>
      <c r="V365" s="21"/>
      <c r="W365" s="21"/>
    </row>
  </sheetData>
  <autoFilter ref="J1:N241"/>
  <phoneticPr fontId="3" type="noConversion"/>
  <pageMargins left="0.75" right="0.75" top="1" bottom="1" header="0.5" footer="0.5"/>
  <pageSetup paperSize="9" scale="73" orientation="portrait" horizontalDpi="4294967294" r:id="rId1"/>
  <headerFooter alignWithMargins="0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11</vt:i4>
      </vt:variant>
    </vt:vector>
  </HeadingPairs>
  <TitlesOfParts>
    <vt:vector size="29" baseType="lpstr">
      <vt:lpstr>jak wpisywać wyniki</vt:lpstr>
      <vt:lpstr>szkoły</vt:lpstr>
      <vt:lpstr>wyniki</vt:lpstr>
      <vt:lpstr>60m</vt:lpstr>
      <vt:lpstr>PPAL</vt:lpstr>
      <vt:lpstr>Wzwyż</vt:lpstr>
      <vt:lpstr>W dal</vt:lpstr>
      <vt:lpstr>4boj</vt:lpstr>
      <vt:lpstr>1000m</vt:lpstr>
      <vt:lpstr>I DZIEN</vt:lpstr>
      <vt:lpstr>II DZIEN</vt:lpstr>
      <vt:lpstr>kolejka</vt:lpstr>
      <vt:lpstr>nazwy_wojewodztw</vt:lpstr>
      <vt:lpstr>woj_ranking</vt:lpstr>
      <vt:lpstr>wydruk</vt:lpstr>
      <vt:lpstr>SINGLE</vt:lpstr>
      <vt:lpstr>baza</vt:lpstr>
      <vt:lpstr>Arkusz1</vt:lpstr>
      <vt:lpstr>'1000m'!Obszar_wydruku</vt:lpstr>
      <vt:lpstr>'4boj'!Obszar_wydruku</vt:lpstr>
      <vt:lpstr>'60m'!Obszar_wydruku</vt:lpstr>
      <vt:lpstr>'I DZIEN'!Obszar_wydruku</vt:lpstr>
      <vt:lpstr>'II DZIEN'!Obszar_wydruku</vt:lpstr>
      <vt:lpstr>PPAL!Obszar_wydruku</vt:lpstr>
      <vt:lpstr>szkoły!Obszar_wydruku</vt:lpstr>
      <vt:lpstr>'W dal'!Obszar_wydruku</vt:lpstr>
      <vt:lpstr>woj_ranking!Obszar_wydruku</vt:lpstr>
      <vt:lpstr>wydruk!Obszar_wydruku</vt:lpstr>
      <vt:lpstr>Wzwyż!Obszar_wydruku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Vader</dc:creator>
  <cp:lastModifiedBy>Sekretariat</cp:lastModifiedBy>
  <cp:lastPrinted>2018-05-18T07:16:43Z</cp:lastPrinted>
  <dcterms:created xsi:type="dcterms:W3CDTF">2005-04-05T12:32:04Z</dcterms:created>
  <dcterms:modified xsi:type="dcterms:W3CDTF">2024-06-05T07:23:14Z</dcterms:modified>
</cp:coreProperties>
</file>