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5195" windowHeight="8955" tabRatio="758" activeTab="13"/>
  </bookViews>
  <sheets>
    <sheet name="szkoły" sheetId="2" r:id="rId1"/>
    <sheet name="wyniki" sheetId="3" r:id="rId2"/>
    <sheet name="60m" sheetId="4" r:id="rId3"/>
    <sheet name="PPAL" sheetId="5" r:id="rId4"/>
    <sheet name="Wzwyż" sheetId="7" r:id="rId5"/>
    <sheet name="W dal" sheetId="6" r:id="rId6"/>
    <sheet name="600m" sheetId="8" r:id="rId7"/>
    <sheet name="4boj" sheetId="11" r:id="rId8"/>
    <sheet name="I DZIEN" sheetId="10" r:id="rId9"/>
    <sheet name="II DZIEN" sheetId="9" r:id="rId10"/>
    <sheet name="kolejka" sheetId="12" state="hidden" r:id="rId11"/>
    <sheet name="wydruk" sheetId="13" r:id="rId12"/>
    <sheet name="nazwy_wojewodztw" sheetId="16" r:id="rId13"/>
    <sheet name="woj_ranking" sheetId="15" r:id="rId14"/>
    <sheet name="SINGLE" sheetId="14" r:id="rId15"/>
    <sheet name="baza" sheetId="1" state="hidden" r:id="rId16"/>
  </sheets>
  <definedNames>
    <definedName name="_xlnm._FilterDatabase" localSheetId="7" hidden="1">'4boj'!$J$1:$N$1</definedName>
    <definedName name="_xlnm._FilterDatabase" localSheetId="6" hidden="1">'600m'!$J$1:$N$1</definedName>
    <definedName name="_xlnm._FilterDatabase" localSheetId="2" hidden="1">'60m'!$J$1:$N$241</definedName>
    <definedName name="_xlnm._FilterDatabase" localSheetId="3" hidden="1">PPAL!$J$1:$N$1</definedName>
    <definedName name="_xlnm._FilterDatabase" localSheetId="5" hidden="1">'W dal'!$J$1:$N$1</definedName>
    <definedName name="_xlnm._FilterDatabase" localSheetId="4" hidden="1">Wzwyż!$J$1:$N$1</definedName>
    <definedName name="_xlnm.Print_Area" localSheetId="7">'4boj'!$A$1:$N$241</definedName>
    <definedName name="_xlnm.Print_Area" localSheetId="6">'600m'!$A$1:$N$241</definedName>
    <definedName name="_xlnm.Print_Area" localSheetId="2">'60m'!$A$1:$N$241</definedName>
    <definedName name="_xlnm.Print_Area" localSheetId="8">'I DZIEN'!$A$1:$J$41</definedName>
    <definedName name="_xlnm.Print_Area" localSheetId="9">'II DZIEN'!$A$1:$J$34</definedName>
    <definedName name="_xlnm.Print_Area" localSheetId="3">PPAL!$A$1:$N$241</definedName>
    <definedName name="_xlnm.Print_Area" localSheetId="0">szkoły!$A$1:$D$72</definedName>
    <definedName name="_xlnm.Print_Area" localSheetId="5">'W dal'!$A$1:$N$241</definedName>
    <definedName name="_xlnm.Print_Area" localSheetId="13">woj_ranking!$D$3:$H$38</definedName>
    <definedName name="_xlnm.Print_Area" localSheetId="11">wydruk!$A$1:$N$281</definedName>
    <definedName name="_xlnm.Print_Area" localSheetId="4">Wzwyż!$A$1:$N$241</definedName>
  </definedNames>
  <calcPr calcId="125725"/>
</workbook>
</file>

<file path=xl/calcChain.xml><?xml version="1.0" encoding="utf-8"?>
<calcChain xmlns="http://schemas.openxmlformats.org/spreadsheetml/2006/main">
  <c r="H34" i="3"/>
  <c r="H33"/>
  <c r="H31"/>
  <c r="H30"/>
  <c r="D15"/>
  <c r="F15"/>
  <c r="H15"/>
  <c r="L15"/>
  <c r="D16"/>
  <c r="F16"/>
  <c r="H16"/>
  <c r="L16"/>
  <c r="D17"/>
  <c r="F17"/>
  <c r="H17"/>
  <c r="L17"/>
  <c r="D18"/>
  <c r="F18"/>
  <c r="H18"/>
  <c r="L18"/>
  <c r="D19"/>
  <c r="F19"/>
  <c r="H19"/>
  <c r="L19"/>
  <c r="D20"/>
  <c r="F20"/>
  <c r="H20"/>
  <c r="L20"/>
  <c r="D22"/>
  <c r="F22"/>
  <c r="H22"/>
  <c r="L22"/>
  <c r="D23"/>
  <c r="F23"/>
  <c r="H23"/>
  <c r="L23"/>
  <c r="D24"/>
  <c r="F24"/>
  <c r="H24"/>
  <c r="L24"/>
  <c r="D25"/>
  <c r="F25"/>
  <c r="H25"/>
  <c r="L25"/>
  <c r="D26"/>
  <c r="F26"/>
  <c r="H26"/>
  <c r="L26"/>
  <c r="D27"/>
  <c r="F27"/>
  <c r="H27"/>
  <c r="L27"/>
  <c r="D29"/>
  <c r="F29"/>
  <c r="J29"/>
  <c r="L29"/>
  <c r="D30"/>
  <c r="F30"/>
  <c r="J30"/>
  <c r="L30"/>
  <c r="D31"/>
  <c r="F31"/>
  <c r="J31"/>
  <c r="L31"/>
  <c r="D32"/>
  <c r="F32"/>
  <c r="J32"/>
  <c r="L32"/>
  <c r="D33"/>
  <c r="F33"/>
  <c r="J33"/>
  <c r="L33"/>
  <c r="D34"/>
  <c r="F34"/>
  <c r="J34"/>
  <c r="L34"/>
  <c r="D36"/>
  <c r="F36"/>
  <c r="J36"/>
  <c r="L36"/>
  <c r="D37"/>
  <c r="F37"/>
  <c r="J37"/>
  <c r="L37"/>
  <c r="D38"/>
  <c r="F38"/>
  <c r="J38"/>
  <c r="L38"/>
  <c r="D39"/>
  <c r="F39"/>
  <c r="J39"/>
  <c r="L39"/>
  <c r="D40"/>
  <c r="F40"/>
  <c r="J40"/>
  <c r="L40"/>
  <c r="D41"/>
  <c r="F41"/>
  <c r="J41"/>
  <c r="L41"/>
  <c r="D43"/>
  <c r="F43"/>
  <c r="J43"/>
  <c r="L43"/>
  <c r="D44"/>
  <c r="F44"/>
  <c r="J44"/>
  <c r="L44"/>
  <c r="D45"/>
  <c r="F45"/>
  <c r="J45"/>
  <c r="L45"/>
  <c r="D46"/>
  <c r="F46"/>
  <c r="J46"/>
  <c r="L46"/>
  <c r="D47"/>
  <c r="F47"/>
  <c r="J47"/>
  <c r="L47"/>
  <c r="D48"/>
  <c r="F48"/>
  <c r="J48"/>
  <c r="L48"/>
  <c r="D50"/>
  <c r="F50"/>
  <c r="J50"/>
  <c r="L50"/>
  <c r="D51"/>
  <c r="F51"/>
  <c r="J51"/>
  <c r="L51"/>
  <c r="D52"/>
  <c r="F52"/>
  <c r="J52"/>
  <c r="L52"/>
  <c r="D53"/>
  <c r="F53"/>
  <c r="J53"/>
  <c r="L53"/>
  <c r="D54"/>
  <c r="F54"/>
  <c r="J54"/>
  <c r="L54"/>
  <c r="D55"/>
  <c r="F55"/>
  <c r="J55"/>
  <c r="L55"/>
  <c r="D57"/>
  <c r="F57"/>
  <c r="J57"/>
  <c r="L57"/>
  <c r="D58"/>
  <c r="F58"/>
  <c r="J58"/>
  <c r="L58"/>
  <c r="D59"/>
  <c r="F59"/>
  <c r="J59"/>
  <c r="L59"/>
  <c r="D60"/>
  <c r="F60"/>
  <c r="J60"/>
  <c r="L60"/>
  <c r="D61"/>
  <c r="F61"/>
  <c r="J61"/>
  <c r="L61"/>
  <c r="D62"/>
  <c r="F62"/>
  <c r="J62"/>
  <c r="L62"/>
  <c r="D64"/>
  <c r="F64"/>
  <c r="J64"/>
  <c r="L64"/>
  <c r="D65"/>
  <c r="F65"/>
  <c r="J65"/>
  <c r="L65"/>
  <c r="D66"/>
  <c r="F66"/>
  <c r="J66"/>
  <c r="L66"/>
  <c r="D67"/>
  <c r="F67"/>
  <c r="J67"/>
  <c r="L67"/>
  <c r="D68"/>
  <c r="F68"/>
  <c r="J68"/>
  <c r="L68"/>
  <c r="D69"/>
  <c r="F69"/>
  <c r="J69"/>
  <c r="L69"/>
  <c r="D71"/>
  <c r="F71"/>
  <c r="J71"/>
  <c r="L71"/>
  <c r="D72"/>
  <c r="F72"/>
  <c r="J72"/>
  <c r="L72"/>
  <c r="D73"/>
  <c r="F73"/>
  <c r="J73"/>
  <c r="L73"/>
  <c r="D74"/>
  <c r="F74"/>
  <c r="J74"/>
  <c r="L74"/>
  <c r="D75"/>
  <c r="F75"/>
  <c r="J75"/>
  <c r="L75"/>
  <c r="D76"/>
  <c r="F76"/>
  <c r="J76"/>
  <c r="L76"/>
  <c r="D78"/>
  <c r="F78"/>
  <c r="J78"/>
  <c r="L78"/>
  <c r="D79"/>
  <c r="F79"/>
  <c r="J79"/>
  <c r="L79"/>
  <c r="D80"/>
  <c r="F80"/>
  <c r="J80"/>
  <c r="L80"/>
  <c r="D81"/>
  <c r="F81"/>
  <c r="J81"/>
  <c r="L81"/>
  <c r="D82"/>
  <c r="F82"/>
  <c r="J82"/>
  <c r="L82"/>
  <c r="D83"/>
  <c r="F83"/>
  <c r="J83"/>
  <c r="L83"/>
  <c r="D85"/>
  <c r="F85"/>
  <c r="J85"/>
  <c r="L85"/>
  <c r="D86"/>
  <c r="F86"/>
  <c r="J86"/>
  <c r="L86"/>
  <c r="D87"/>
  <c r="F87"/>
  <c r="J87"/>
  <c r="L87"/>
  <c r="D88"/>
  <c r="F88"/>
  <c r="J88"/>
  <c r="L88"/>
  <c r="D89"/>
  <c r="F89"/>
  <c r="J89"/>
  <c r="L89"/>
  <c r="D90"/>
  <c r="F90"/>
  <c r="J90"/>
  <c r="L90"/>
  <c r="D92"/>
  <c r="F92"/>
  <c r="H92"/>
  <c r="L92"/>
  <c r="D93"/>
  <c r="F93"/>
  <c r="H93"/>
  <c r="L93"/>
  <c r="D94"/>
  <c r="F94"/>
  <c r="H94"/>
  <c r="L94"/>
  <c r="D95"/>
  <c r="F95"/>
  <c r="M95" s="1"/>
  <c r="H95"/>
  <c r="L95"/>
  <c r="D96"/>
  <c r="F96"/>
  <c r="H96"/>
  <c r="L96"/>
  <c r="D97"/>
  <c r="F97"/>
  <c r="H97"/>
  <c r="L97"/>
  <c r="D99"/>
  <c r="F99"/>
  <c r="J99"/>
  <c r="L99"/>
  <c r="D100"/>
  <c r="F100"/>
  <c r="J100"/>
  <c r="L100"/>
  <c r="D101"/>
  <c r="F101"/>
  <c r="J101"/>
  <c r="L101"/>
  <c r="D102"/>
  <c r="F102"/>
  <c r="J102"/>
  <c r="L102"/>
  <c r="D103"/>
  <c r="F103"/>
  <c r="J103"/>
  <c r="L103"/>
  <c r="D104"/>
  <c r="F104"/>
  <c r="J104"/>
  <c r="L104"/>
  <c r="D106"/>
  <c r="F106"/>
  <c r="J106"/>
  <c r="L106"/>
  <c r="D107"/>
  <c r="F107"/>
  <c r="J107"/>
  <c r="L107"/>
  <c r="D108"/>
  <c r="F108"/>
  <c r="J108"/>
  <c r="L108"/>
  <c r="D109"/>
  <c r="F109"/>
  <c r="J109"/>
  <c r="L109"/>
  <c r="D110"/>
  <c r="F110"/>
  <c r="J110"/>
  <c r="L110"/>
  <c r="D111"/>
  <c r="F111"/>
  <c r="M111" s="1"/>
  <c r="J111"/>
  <c r="L111"/>
  <c r="D113"/>
  <c r="F113"/>
  <c r="J113"/>
  <c r="L113"/>
  <c r="D114"/>
  <c r="F114"/>
  <c r="J114"/>
  <c r="L114"/>
  <c r="D115"/>
  <c r="F115"/>
  <c r="J115"/>
  <c r="L115"/>
  <c r="D116"/>
  <c r="F116"/>
  <c r="J116"/>
  <c r="L116"/>
  <c r="D117"/>
  <c r="F117"/>
  <c r="J117"/>
  <c r="L117"/>
  <c r="D118"/>
  <c r="F118"/>
  <c r="J118"/>
  <c r="L118"/>
  <c r="D120"/>
  <c r="F120"/>
  <c r="J120"/>
  <c r="L120"/>
  <c r="D121"/>
  <c r="F121"/>
  <c r="J121"/>
  <c r="L121"/>
  <c r="D122"/>
  <c r="F122"/>
  <c r="J122"/>
  <c r="L122"/>
  <c r="D123"/>
  <c r="F123"/>
  <c r="J123"/>
  <c r="L123"/>
  <c r="D124"/>
  <c r="F124"/>
  <c r="J124"/>
  <c r="L124"/>
  <c r="D125"/>
  <c r="F125"/>
  <c r="J125"/>
  <c r="L125"/>
  <c r="D127"/>
  <c r="F127"/>
  <c r="J127"/>
  <c r="L127"/>
  <c r="D128"/>
  <c r="F128"/>
  <c r="J128"/>
  <c r="L128"/>
  <c r="D129"/>
  <c r="F129"/>
  <c r="J129"/>
  <c r="L129"/>
  <c r="D130"/>
  <c r="F130"/>
  <c r="J130"/>
  <c r="L130"/>
  <c r="D131"/>
  <c r="F131"/>
  <c r="J131"/>
  <c r="L131"/>
  <c r="D132"/>
  <c r="F132"/>
  <c r="J132"/>
  <c r="L132"/>
  <c r="D134"/>
  <c r="F134"/>
  <c r="J134"/>
  <c r="L134"/>
  <c r="D135"/>
  <c r="F135"/>
  <c r="J135"/>
  <c r="L135"/>
  <c r="D136"/>
  <c r="F136"/>
  <c r="J136"/>
  <c r="L136"/>
  <c r="D137"/>
  <c r="F137"/>
  <c r="J137"/>
  <c r="L137"/>
  <c r="D138"/>
  <c r="F138"/>
  <c r="J138"/>
  <c r="L138"/>
  <c r="D139"/>
  <c r="F139"/>
  <c r="J139"/>
  <c r="L139"/>
  <c r="D141"/>
  <c r="F141"/>
  <c r="J141"/>
  <c r="L141"/>
  <c r="D142"/>
  <c r="F142"/>
  <c r="J142"/>
  <c r="L142"/>
  <c r="D143"/>
  <c r="F143"/>
  <c r="J143"/>
  <c r="L143"/>
  <c r="D144"/>
  <c r="F144"/>
  <c r="J144"/>
  <c r="L144"/>
  <c r="D145"/>
  <c r="F145"/>
  <c r="J145"/>
  <c r="L145"/>
  <c r="D146"/>
  <c r="F146"/>
  <c r="J146"/>
  <c r="L146"/>
  <c r="D148"/>
  <c r="F148"/>
  <c r="J148"/>
  <c r="L148"/>
  <c r="D149"/>
  <c r="F149"/>
  <c r="J149"/>
  <c r="L149"/>
  <c r="D150"/>
  <c r="F150"/>
  <c r="J150"/>
  <c r="L150"/>
  <c r="D151"/>
  <c r="F151"/>
  <c r="J151"/>
  <c r="L151"/>
  <c r="D152"/>
  <c r="F152"/>
  <c r="J152"/>
  <c r="L152"/>
  <c r="D153"/>
  <c r="F153"/>
  <c r="J153"/>
  <c r="L153"/>
  <c r="D155"/>
  <c r="F155"/>
  <c r="J155"/>
  <c r="L155"/>
  <c r="D156"/>
  <c r="F156"/>
  <c r="J156"/>
  <c r="L156"/>
  <c r="D157"/>
  <c r="F157"/>
  <c r="J157"/>
  <c r="L157"/>
  <c r="D158"/>
  <c r="F158"/>
  <c r="J158"/>
  <c r="L158"/>
  <c r="D159"/>
  <c r="F159"/>
  <c r="J159"/>
  <c r="L159"/>
  <c r="D160"/>
  <c r="F160"/>
  <c r="J160"/>
  <c r="L160"/>
  <c r="D162"/>
  <c r="F162"/>
  <c r="J162"/>
  <c r="L162"/>
  <c r="D163"/>
  <c r="F163"/>
  <c r="J163"/>
  <c r="L163"/>
  <c r="D164"/>
  <c r="F164"/>
  <c r="J164"/>
  <c r="L164"/>
  <c r="D165"/>
  <c r="F165"/>
  <c r="J165"/>
  <c r="L165"/>
  <c r="D166"/>
  <c r="F166"/>
  <c r="J166"/>
  <c r="L166"/>
  <c r="D167"/>
  <c r="F167"/>
  <c r="M167" s="1"/>
  <c r="J167"/>
  <c r="L167"/>
  <c r="D169"/>
  <c r="F169"/>
  <c r="J169"/>
  <c r="L169"/>
  <c r="D170"/>
  <c r="F170"/>
  <c r="J170"/>
  <c r="L170"/>
  <c r="D171"/>
  <c r="F171"/>
  <c r="J171"/>
  <c r="L171"/>
  <c r="D172"/>
  <c r="F172"/>
  <c r="J172"/>
  <c r="L172"/>
  <c r="D173"/>
  <c r="F173"/>
  <c r="J173"/>
  <c r="L173"/>
  <c r="D174"/>
  <c r="F174"/>
  <c r="J174"/>
  <c r="L174"/>
  <c r="D176"/>
  <c r="F176"/>
  <c r="J176"/>
  <c r="L176"/>
  <c r="D177"/>
  <c r="F177"/>
  <c r="J177"/>
  <c r="L177"/>
  <c r="D178"/>
  <c r="F178"/>
  <c r="J178"/>
  <c r="L178"/>
  <c r="D179"/>
  <c r="F179"/>
  <c r="M179" s="1"/>
  <c r="J179"/>
  <c r="L179"/>
  <c r="D180"/>
  <c r="F180"/>
  <c r="J180"/>
  <c r="L180"/>
  <c r="D181"/>
  <c r="F181"/>
  <c r="J181"/>
  <c r="L181"/>
  <c r="D183"/>
  <c r="F183"/>
  <c r="J183"/>
  <c r="L183"/>
  <c r="D184"/>
  <c r="F184"/>
  <c r="J184"/>
  <c r="L184"/>
  <c r="D185"/>
  <c r="F185"/>
  <c r="J185"/>
  <c r="L185"/>
  <c r="D186"/>
  <c r="F186"/>
  <c r="J186"/>
  <c r="L186"/>
  <c r="D187"/>
  <c r="F187"/>
  <c r="J187"/>
  <c r="L187"/>
  <c r="D188"/>
  <c r="F188"/>
  <c r="J188"/>
  <c r="L188"/>
  <c r="D190"/>
  <c r="F190"/>
  <c r="J190"/>
  <c r="L190"/>
  <c r="D191"/>
  <c r="F191"/>
  <c r="J191"/>
  <c r="L191"/>
  <c r="D192"/>
  <c r="F192"/>
  <c r="J192"/>
  <c r="L192"/>
  <c r="D193"/>
  <c r="F193"/>
  <c r="M193" s="1"/>
  <c r="J193"/>
  <c r="L193"/>
  <c r="D194"/>
  <c r="F194"/>
  <c r="J194"/>
  <c r="L194"/>
  <c r="D195"/>
  <c r="F195"/>
  <c r="J195"/>
  <c r="L195"/>
  <c r="D197"/>
  <c r="F197"/>
  <c r="J197"/>
  <c r="L197"/>
  <c r="D198"/>
  <c r="F198"/>
  <c r="J198"/>
  <c r="L198"/>
  <c r="D199"/>
  <c r="F199"/>
  <c r="J199"/>
  <c r="L199"/>
  <c r="D200"/>
  <c r="F200"/>
  <c r="J200"/>
  <c r="L200"/>
  <c r="D201"/>
  <c r="F201"/>
  <c r="J201"/>
  <c r="L201"/>
  <c r="D202"/>
  <c r="F202"/>
  <c r="J202"/>
  <c r="L202"/>
  <c r="D204"/>
  <c r="F204"/>
  <c r="J204"/>
  <c r="L204"/>
  <c r="D205"/>
  <c r="F205"/>
  <c r="M205" s="1"/>
  <c r="J205"/>
  <c r="L205"/>
  <c r="D206"/>
  <c r="F206"/>
  <c r="J206"/>
  <c r="L206"/>
  <c r="D207"/>
  <c r="F207"/>
  <c r="J207"/>
  <c r="L207"/>
  <c r="D208"/>
  <c r="F208"/>
  <c r="J208"/>
  <c r="L208"/>
  <c r="D209"/>
  <c r="F209"/>
  <c r="J209"/>
  <c r="L209"/>
  <c r="D211"/>
  <c r="F211"/>
  <c r="J211"/>
  <c r="L211"/>
  <c r="D212"/>
  <c r="F212"/>
  <c r="J212"/>
  <c r="L212"/>
  <c r="D213"/>
  <c r="F213"/>
  <c r="J213"/>
  <c r="L213"/>
  <c r="D214"/>
  <c r="F214"/>
  <c r="J214"/>
  <c r="L214"/>
  <c r="D215"/>
  <c r="F215"/>
  <c r="J215"/>
  <c r="L215"/>
  <c r="D216"/>
  <c r="F216"/>
  <c r="J216"/>
  <c r="L216"/>
  <c r="D218"/>
  <c r="F218"/>
  <c r="J218"/>
  <c r="L218"/>
  <c r="D219"/>
  <c r="F219"/>
  <c r="J219"/>
  <c r="L219"/>
  <c r="D220"/>
  <c r="F220"/>
  <c r="J220"/>
  <c r="L220"/>
  <c r="D221"/>
  <c r="F221"/>
  <c r="J221"/>
  <c r="L221"/>
  <c r="D222"/>
  <c r="F222"/>
  <c r="J222"/>
  <c r="L222"/>
  <c r="D223"/>
  <c r="F223"/>
  <c r="J223"/>
  <c r="L223"/>
  <c r="D226"/>
  <c r="F226"/>
  <c r="J226"/>
  <c r="L226"/>
  <c r="D227"/>
  <c r="F227"/>
  <c r="J227"/>
  <c r="L227"/>
  <c r="D228"/>
  <c r="F228"/>
  <c r="J228"/>
  <c r="L228"/>
  <c r="D229"/>
  <c r="F229"/>
  <c r="J229"/>
  <c r="L229"/>
  <c r="D230"/>
  <c r="F230"/>
  <c r="J230"/>
  <c r="L230"/>
  <c r="D225"/>
  <c r="F225"/>
  <c r="J225"/>
  <c r="L225"/>
  <c r="D232"/>
  <c r="F232"/>
  <c r="J232"/>
  <c r="L232"/>
  <c r="D233"/>
  <c r="F233"/>
  <c r="J233"/>
  <c r="L233"/>
  <c r="D234"/>
  <c r="F234"/>
  <c r="J234"/>
  <c r="L234"/>
  <c r="D235"/>
  <c r="F235"/>
  <c r="J235"/>
  <c r="L235"/>
  <c r="D236"/>
  <c r="F236"/>
  <c r="J236"/>
  <c r="L236"/>
  <c r="D237"/>
  <c r="F237"/>
  <c r="J237"/>
  <c r="L237"/>
  <c r="A280"/>
  <c r="B40" i="16"/>
  <c r="A273" i="3"/>
  <c r="B39" i="16"/>
  <c r="A266" i="3"/>
  <c r="B38" i="16"/>
  <c r="A259" i="3"/>
  <c r="B37" i="16"/>
  <c r="A252" i="3"/>
  <c r="B36" i="16"/>
  <c r="A245" i="3"/>
  <c r="B35" i="16"/>
  <c r="A238" i="3"/>
  <c r="B34" i="16"/>
  <c r="A231" i="3"/>
  <c r="B33" i="16"/>
  <c r="A224" i="3"/>
  <c r="B32" i="16"/>
  <c r="A217" i="3"/>
  <c r="B31" i="16"/>
  <c r="A210" i="3"/>
  <c r="B30" i="16"/>
  <c r="A203" i="3"/>
  <c r="B29" i="16"/>
  <c r="A196" i="3"/>
  <c r="B28" i="16"/>
  <c r="A189" i="3"/>
  <c r="B27" i="16"/>
  <c r="A182" i="3"/>
  <c r="B26" i="16"/>
  <c r="A175" i="3"/>
  <c r="B25" i="16"/>
  <c r="A168" i="3"/>
  <c r="B24" i="16"/>
  <c r="A161" i="3"/>
  <c r="B23" i="16"/>
  <c r="A154" i="3"/>
  <c r="B22" i="16"/>
  <c r="A147" i="3"/>
  <c r="B21" i="16"/>
  <c r="A140" i="3"/>
  <c r="B20" i="16"/>
  <c r="A133" i="3"/>
  <c r="B19" i="16"/>
  <c r="A126" i="3"/>
  <c r="B18" i="16"/>
  <c r="A119" i="3"/>
  <c r="B17" i="16"/>
  <c r="A112" i="3"/>
  <c r="B16" i="16"/>
  <c r="A105" i="3"/>
  <c r="B15" i="16"/>
  <c r="A98" i="3"/>
  <c r="B14" i="16"/>
  <c r="A91" i="3"/>
  <c r="B13" i="16"/>
  <c r="A84" i="3"/>
  <c r="B12" i="16"/>
  <c r="A77" i="3"/>
  <c r="B11" i="16"/>
  <c r="A70" i="3"/>
  <c r="B10" i="16"/>
  <c r="A63" i="3"/>
  <c r="B9" i="16"/>
  <c r="A56" i="3"/>
  <c r="B8" i="16"/>
  <c r="A49" i="3"/>
  <c r="B7" i="16"/>
  <c r="A42" i="3"/>
  <c r="B6" i="16"/>
  <c r="A35" i="3"/>
  <c r="B5" i="16"/>
  <c r="A28" i="3"/>
  <c r="B4" i="16"/>
  <c r="A21" i="3"/>
  <c r="B3" i="16"/>
  <c r="A14" i="3"/>
  <c r="B2" i="16"/>
  <c r="A7" i="3"/>
  <c r="B1" i="16"/>
  <c r="J8" i="3"/>
  <c r="J9"/>
  <c r="J10"/>
  <c r="J11"/>
  <c r="J12"/>
  <c r="J13"/>
  <c r="J15"/>
  <c r="J16"/>
  <c r="J17"/>
  <c r="J18"/>
  <c r="J19"/>
  <c r="J20"/>
  <c r="M20" s="1"/>
  <c r="N20" s="1"/>
  <c r="C13" i="11" s="1"/>
  <c r="E13" s="1"/>
  <c r="J22" i="3"/>
  <c r="M22"/>
  <c r="N22" s="1"/>
  <c r="C14" i="11" s="1"/>
  <c r="E14" s="1"/>
  <c r="J23" i="3"/>
  <c r="J24"/>
  <c r="J25"/>
  <c r="M25" s="1"/>
  <c r="N25" s="1"/>
  <c r="C17" i="11" s="1"/>
  <c r="E17" s="1"/>
  <c r="J26" i="3"/>
  <c r="M26" s="1"/>
  <c r="N26" s="1"/>
  <c r="C18" i="11" s="1"/>
  <c r="E18" s="1"/>
  <c r="J27" i="3"/>
  <c r="M27" s="1"/>
  <c r="N27" s="1"/>
  <c r="C19" i="11" s="1"/>
  <c r="E19" s="1"/>
  <c r="J92" i="3"/>
  <c r="M92"/>
  <c r="N92" s="1"/>
  <c r="C74" i="11" s="1"/>
  <c r="E74" s="1"/>
  <c r="J93" i="3"/>
  <c r="J94"/>
  <c r="J95"/>
  <c r="J96"/>
  <c r="J97"/>
  <c r="J239"/>
  <c r="J240"/>
  <c r="J241"/>
  <c r="J242"/>
  <c r="J243"/>
  <c r="J244"/>
  <c r="J246"/>
  <c r="J247"/>
  <c r="J248"/>
  <c r="J249"/>
  <c r="J250"/>
  <c r="J251"/>
  <c r="J253"/>
  <c r="J254"/>
  <c r="J255"/>
  <c r="J256"/>
  <c r="J257"/>
  <c r="J258"/>
  <c r="J260"/>
  <c r="J261"/>
  <c r="J262"/>
  <c r="J263"/>
  <c r="J264"/>
  <c r="J265"/>
  <c r="J267"/>
  <c r="J268"/>
  <c r="J269"/>
  <c r="J270"/>
  <c r="J271"/>
  <c r="J272"/>
  <c r="J274"/>
  <c r="J275"/>
  <c r="J276"/>
  <c r="J277"/>
  <c r="J278"/>
  <c r="J279"/>
  <c r="J281"/>
  <c r="J282"/>
  <c r="J283"/>
  <c r="J284"/>
  <c r="J285"/>
  <c r="J286"/>
  <c r="E14" i="9"/>
  <c r="E15"/>
  <c r="E32"/>
  <c r="E18"/>
  <c r="E13"/>
  <c r="E23"/>
  <c r="E31"/>
  <c r="E30"/>
  <c r="E7"/>
  <c r="E25"/>
  <c r="E19"/>
  <c r="E24"/>
  <c r="E12"/>
  <c r="E17"/>
  <c r="E26"/>
  <c r="E29"/>
  <c r="E16"/>
  <c r="E27"/>
  <c r="E33"/>
  <c r="E20"/>
  <c r="E6"/>
  <c r="E21"/>
  <c r="E28"/>
  <c r="E34"/>
  <c r="E22"/>
  <c r="G178" i="1"/>
  <c r="L286" i="3"/>
  <c r="L285"/>
  <c r="L284"/>
  <c r="L283"/>
  <c r="L282"/>
  <c r="L281"/>
  <c r="L279"/>
  <c r="L278"/>
  <c r="L277"/>
  <c r="L276"/>
  <c r="L275"/>
  <c r="L274"/>
  <c r="L272"/>
  <c r="L271"/>
  <c r="L270"/>
  <c r="L269"/>
  <c r="L268"/>
  <c r="L267"/>
  <c r="L265"/>
  <c r="L264"/>
  <c r="L263"/>
  <c r="L262"/>
  <c r="L261"/>
  <c r="L260"/>
  <c r="L258"/>
  <c r="L257"/>
  <c r="L256"/>
  <c r="L255"/>
  <c r="L254"/>
  <c r="L253"/>
  <c r="L251"/>
  <c r="L250"/>
  <c r="L249"/>
  <c r="L248"/>
  <c r="L247"/>
  <c r="L246"/>
  <c r="L244"/>
  <c r="L243"/>
  <c r="L242"/>
  <c r="L241"/>
  <c r="L240"/>
  <c r="L239"/>
  <c r="L12"/>
  <c r="D286"/>
  <c r="D285"/>
  <c r="D284"/>
  <c r="D283"/>
  <c r="D282"/>
  <c r="D281"/>
  <c r="D279"/>
  <c r="D278"/>
  <c r="D277"/>
  <c r="D276"/>
  <c r="D275"/>
  <c r="D274"/>
  <c r="D272"/>
  <c r="D271"/>
  <c r="D270"/>
  <c r="D269"/>
  <c r="D268"/>
  <c r="D267"/>
  <c r="D265"/>
  <c r="D264"/>
  <c r="D263"/>
  <c r="D262"/>
  <c r="D261"/>
  <c r="D260"/>
  <c r="D258"/>
  <c r="D257"/>
  <c r="D256"/>
  <c r="D255"/>
  <c r="D254"/>
  <c r="D253"/>
  <c r="D251"/>
  <c r="D250"/>
  <c r="D249"/>
  <c r="D248"/>
  <c r="D247"/>
  <c r="D246"/>
  <c r="D244"/>
  <c r="D243"/>
  <c r="D242"/>
  <c r="D241"/>
  <c r="D240"/>
  <c r="D239"/>
  <c r="F286"/>
  <c r="F285"/>
  <c r="F284"/>
  <c r="F283"/>
  <c r="F282"/>
  <c r="F281"/>
  <c r="F279"/>
  <c r="F278"/>
  <c r="F277"/>
  <c r="F276"/>
  <c r="F275"/>
  <c r="F274"/>
  <c r="F272"/>
  <c r="F271"/>
  <c r="F270"/>
  <c r="F269"/>
  <c r="F268"/>
  <c r="F267"/>
  <c r="F265"/>
  <c r="F264"/>
  <c r="F263"/>
  <c r="F262"/>
  <c r="F261"/>
  <c r="F260"/>
  <c r="F258"/>
  <c r="F257"/>
  <c r="F256"/>
  <c r="F255"/>
  <c r="F254"/>
  <c r="F253"/>
  <c r="F251"/>
  <c r="F250"/>
  <c r="F249"/>
  <c r="F248"/>
  <c r="F247"/>
  <c r="F246"/>
  <c r="F244"/>
  <c r="F243"/>
  <c r="F242"/>
  <c r="F241"/>
  <c r="F240"/>
  <c r="F239"/>
  <c r="F9"/>
  <c r="F10"/>
  <c r="F11"/>
  <c r="F12"/>
  <c r="F13"/>
  <c r="F8"/>
  <c r="H286"/>
  <c r="H285"/>
  <c r="H284"/>
  <c r="H283"/>
  <c r="H282"/>
  <c r="H281"/>
  <c r="H279"/>
  <c r="H278"/>
  <c r="H277"/>
  <c r="H276"/>
  <c r="H275"/>
  <c r="H274"/>
  <c r="H272"/>
  <c r="H271"/>
  <c r="H270"/>
  <c r="H269"/>
  <c r="H268"/>
  <c r="H267"/>
  <c r="H265"/>
  <c r="H264"/>
  <c r="H263"/>
  <c r="H262"/>
  <c r="H261"/>
  <c r="H260"/>
  <c r="H258"/>
  <c r="H257"/>
  <c r="H256"/>
  <c r="H255"/>
  <c r="H254"/>
  <c r="H253"/>
  <c r="H251"/>
  <c r="H250"/>
  <c r="H249"/>
  <c r="H248"/>
  <c r="H247"/>
  <c r="H246"/>
  <c r="M246" s="1"/>
  <c r="N246" s="1"/>
  <c r="C206" i="11" s="1"/>
  <c r="E206" s="1"/>
  <c r="H244" i="3"/>
  <c r="H243"/>
  <c r="H242"/>
  <c r="H241"/>
  <c r="H240"/>
  <c r="H239"/>
  <c r="H237"/>
  <c r="H236"/>
  <c r="H235"/>
  <c r="H234"/>
  <c r="H233"/>
  <c r="H232"/>
  <c r="H230"/>
  <c r="H229"/>
  <c r="H228"/>
  <c r="H227"/>
  <c r="H226"/>
  <c r="H225"/>
  <c r="H223"/>
  <c r="H222"/>
  <c r="H221"/>
  <c r="H220"/>
  <c r="H219"/>
  <c r="H218"/>
  <c r="H216"/>
  <c r="H215"/>
  <c r="H214"/>
  <c r="H213"/>
  <c r="H212"/>
  <c r="H211"/>
  <c r="H209"/>
  <c r="H208"/>
  <c r="H207"/>
  <c r="H206"/>
  <c r="M206"/>
  <c r="N206" s="1"/>
  <c r="C172" i="11" s="1"/>
  <c r="E172" s="1"/>
  <c r="H205" i="3"/>
  <c r="H204"/>
  <c r="H202"/>
  <c r="H201"/>
  <c r="H200"/>
  <c r="H199"/>
  <c r="H198"/>
  <c r="H197"/>
  <c r="H195"/>
  <c r="H194"/>
  <c r="H193"/>
  <c r="H192"/>
  <c r="H191"/>
  <c r="H190"/>
  <c r="H188"/>
  <c r="H187"/>
  <c r="H186"/>
  <c r="H185"/>
  <c r="H184"/>
  <c r="H183"/>
  <c r="H181"/>
  <c r="H180"/>
  <c r="H179"/>
  <c r="H178"/>
  <c r="H177"/>
  <c r="H176"/>
  <c r="H174"/>
  <c r="H173"/>
  <c r="H172"/>
  <c r="H171"/>
  <c r="H170"/>
  <c r="H169"/>
  <c r="H167"/>
  <c r="H166"/>
  <c r="H165"/>
  <c r="H164"/>
  <c r="H163"/>
  <c r="H162"/>
  <c r="H160"/>
  <c r="H159"/>
  <c r="H158"/>
  <c r="H157"/>
  <c r="H156"/>
  <c r="H155"/>
  <c r="H153"/>
  <c r="H152"/>
  <c r="H151"/>
  <c r="H150"/>
  <c r="H149"/>
  <c r="H148"/>
  <c r="H146"/>
  <c r="H145"/>
  <c r="H144"/>
  <c r="H143"/>
  <c r="H142"/>
  <c r="H141"/>
  <c r="H139"/>
  <c r="H138"/>
  <c r="H137"/>
  <c r="H136"/>
  <c r="H135"/>
  <c r="H134"/>
  <c r="H132"/>
  <c r="H131"/>
  <c r="H130"/>
  <c r="H129"/>
  <c r="H128"/>
  <c r="H127"/>
  <c r="H125"/>
  <c r="H124"/>
  <c r="H123"/>
  <c r="H122"/>
  <c r="H121"/>
  <c r="H120"/>
  <c r="H118"/>
  <c r="H117"/>
  <c r="H116"/>
  <c r="H115"/>
  <c r="H114"/>
  <c r="H113"/>
  <c r="H111"/>
  <c r="H110"/>
  <c r="H109"/>
  <c r="H108"/>
  <c r="H107"/>
  <c r="H106"/>
  <c r="H104"/>
  <c r="H103"/>
  <c r="H102"/>
  <c r="H101"/>
  <c r="H100"/>
  <c r="H99"/>
  <c r="H90"/>
  <c r="H89"/>
  <c r="H88"/>
  <c r="H87"/>
  <c r="H86"/>
  <c r="H85"/>
  <c r="H83"/>
  <c r="H82"/>
  <c r="H81"/>
  <c r="H80"/>
  <c r="H79"/>
  <c r="H78"/>
  <c r="H76"/>
  <c r="H75"/>
  <c r="H74"/>
  <c r="H73"/>
  <c r="H72"/>
  <c r="H71"/>
  <c r="H69"/>
  <c r="M69" s="1"/>
  <c r="N69" s="1"/>
  <c r="C55" i="11" s="1"/>
  <c r="E55" s="1"/>
  <c r="H68" i="3"/>
  <c r="M68" s="1"/>
  <c r="N68" s="1"/>
  <c r="C54" i="11" s="1"/>
  <c r="E54" s="1"/>
  <c r="H67" i="3"/>
  <c r="H66"/>
  <c r="H65"/>
  <c r="H64"/>
  <c r="H62"/>
  <c r="H61"/>
  <c r="H60"/>
  <c r="H59"/>
  <c r="H58"/>
  <c r="H57"/>
  <c r="H55"/>
  <c r="H54"/>
  <c r="H53"/>
  <c r="H52"/>
  <c r="H51"/>
  <c r="H50"/>
  <c r="H48"/>
  <c r="H47"/>
  <c r="H46"/>
  <c r="H45"/>
  <c r="H44"/>
  <c r="H43"/>
  <c r="H41"/>
  <c r="H40"/>
  <c r="H39"/>
  <c r="H38"/>
  <c r="H37"/>
  <c r="H36"/>
  <c r="M34"/>
  <c r="N34" s="1"/>
  <c r="C25" i="11" s="1"/>
  <c r="E25" s="1"/>
  <c r="H32" i="3"/>
  <c r="H29"/>
  <c r="H9"/>
  <c r="H10"/>
  <c r="H11"/>
  <c r="H12"/>
  <c r="H13"/>
  <c r="H8"/>
  <c r="E41" i="9"/>
  <c r="E40"/>
  <c r="E39"/>
  <c r="E38"/>
  <c r="E37"/>
  <c r="E36"/>
  <c r="E35"/>
  <c r="B286" i="3"/>
  <c r="B241" i="11" s="1"/>
  <c r="B92" i="3"/>
  <c r="B74" i="11" s="1"/>
  <c r="B50" i="3"/>
  <c r="B38" i="11" s="1"/>
  <c r="B57" i="3"/>
  <c r="B44" i="11" s="1"/>
  <c r="B8" i="3"/>
  <c r="B2" i="11" s="1"/>
  <c r="B148" i="3"/>
  <c r="B122" i="11" s="1"/>
  <c r="B211" i="3"/>
  <c r="B176" i="11" s="1"/>
  <c r="B104" i="3"/>
  <c r="B85" i="11" s="1"/>
  <c r="B37" i="3"/>
  <c r="B27" i="11" s="1"/>
  <c r="B170" i="3"/>
  <c r="B141" i="11" s="1"/>
  <c r="B183" i="3"/>
  <c r="B152" i="11" s="1"/>
  <c r="B155" i="3"/>
  <c r="B128" i="11" s="1"/>
  <c r="B149" i="3"/>
  <c r="B123" i="11" s="1"/>
  <c r="B64" i="3"/>
  <c r="B50" i="11" s="1"/>
  <c r="B24" i="3"/>
  <c r="B16" i="11" s="1"/>
  <c r="B71" i="3"/>
  <c r="B56" i="11" s="1"/>
  <c r="B58" i="3"/>
  <c r="B45" i="11" s="1"/>
  <c r="B120" i="3"/>
  <c r="B98" i="11" s="1"/>
  <c r="B150" i="3"/>
  <c r="B124" i="11" s="1"/>
  <c r="B205" i="3"/>
  <c r="B171" i="11" s="1"/>
  <c r="B95" i="3"/>
  <c r="B77" i="11" s="1"/>
  <c r="B93" i="3"/>
  <c r="B75" i="11" s="1"/>
  <c r="B44" i="3"/>
  <c r="B33" i="11" s="1"/>
  <c r="B15" i="3"/>
  <c r="B8" i="11" s="1"/>
  <c r="B219" i="3"/>
  <c r="B183" i="11" s="1"/>
  <c r="B81" i="3"/>
  <c r="B65" i="11" s="1"/>
  <c r="B43" i="3"/>
  <c r="B32" i="11" s="1"/>
  <c r="B69" i="3"/>
  <c r="B55" i="11" s="1"/>
  <c r="B176" i="3"/>
  <c r="B146" i="11" s="1"/>
  <c r="B94" i="3"/>
  <c r="B76" i="11" s="1"/>
  <c r="B151" i="3"/>
  <c r="B125" i="11" s="1"/>
  <c r="B80" i="3"/>
  <c r="B64" i="11" s="1"/>
  <c r="B65" i="3"/>
  <c r="B51" i="11" s="1"/>
  <c r="B204" i="3"/>
  <c r="B170" i="11" s="1"/>
  <c r="B23" i="3"/>
  <c r="B15" i="11" s="1"/>
  <c r="B87" i="3"/>
  <c r="B70" i="11" s="1"/>
  <c r="B166" i="3"/>
  <c r="B138" i="11" s="1"/>
  <c r="B121" i="3"/>
  <c r="B99" i="11" s="1"/>
  <c r="B103" i="3"/>
  <c r="B84" i="11" s="1"/>
  <c r="B113" i="3"/>
  <c r="B92" i="11" s="1"/>
  <c r="B52" i="3"/>
  <c r="B40" i="11" s="1"/>
  <c r="B127" i="3"/>
  <c r="B104" i="11" s="1"/>
  <c r="B190" i="3"/>
  <c r="B158" i="11" s="1"/>
  <c r="B237" i="3"/>
  <c r="B199" i="11" s="1"/>
  <c r="B85" i="3"/>
  <c r="B68" i="11" s="1"/>
  <c r="B236" i="3"/>
  <c r="B198" i="11" s="1"/>
  <c r="B128" i="3"/>
  <c r="B105" i="11" s="1"/>
  <c r="B235" i="3"/>
  <c r="B197" i="11" s="1"/>
  <c r="B197" i="3"/>
  <c r="B164" i="11" s="1"/>
  <c r="B234" i="3"/>
  <c r="B196" i="11" s="1"/>
  <c r="B227" i="3"/>
  <c r="B190" i="11" s="1"/>
  <c r="B233" i="3"/>
  <c r="B195" i="11" s="1"/>
  <c r="B218" i="3"/>
  <c r="B182" i="11" s="1"/>
  <c r="B232" i="3"/>
  <c r="B194" i="11" s="1"/>
  <c r="B222" i="3"/>
  <c r="B186" i="11" s="1"/>
  <c r="B230" i="3"/>
  <c r="B193" i="11" s="1"/>
  <c r="B59" i="3"/>
  <c r="B46" i="11" s="1"/>
  <c r="B229" i="3"/>
  <c r="B192" i="11" s="1"/>
  <c r="B32" i="3"/>
  <c r="B23" i="11" s="1"/>
  <c r="B228" i="3"/>
  <c r="B191" i="11" s="1"/>
  <c r="B212" i="3"/>
  <c r="B177" i="11" s="1"/>
  <c r="B134" i="3"/>
  <c r="B110" i="11" s="1"/>
  <c r="B226" i="3"/>
  <c r="B189" i="11" s="1"/>
  <c r="B30" i="3"/>
  <c r="B21" i="11" s="1"/>
  <c r="B225" i="3"/>
  <c r="B188" i="11" s="1"/>
  <c r="B177" i="3"/>
  <c r="B147" i="11" s="1"/>
  <c r="B223" i="3"/>
  <c r="B187" i="11" s="1"/>
  <c r="B141" i="3"/>
  <c r="B116" i="11" s="1"/>
  <c r="B157" i="3"/>
  <c r="B130" i="11" s="1"/>
  <c r="B221" i="3"/>
  <c r="B185" i="11" s="1"/>
  <c r="B16" i="3"/>
  <c r="B9" i="11" s="1"/>
  <c r="B220" i="3"/>
  <c r="B184" i="11" s="1"/>
  <c r="B33" i="3"/>
  <c r="B24" i="11" s="1"/>
  <c r="B216" i="3"/>
  <c r="B181" i="11" s="1"/>
  <c r="B86" i="3"/>
  <c r="B69" i="11" s="1"/>
  <c r="B215" i="3"/>
  <c r="B180" i="11" s="1"/>
  <c r="B17" i="3"/>
  <c r="B10" i="11" s="1"/>
  <c r="B214" i="3"/>
  <c r="B179" i="11" s="1"/>
  <c r="B22" i="3"/>
  <c r="B14" i="11" s="1"/>
  <c r="B213" i="3"/>
  <c r="B178" i="11" s="1"/>
  <c r="B207" i="3"/>
  <c r="B173" i="11" s="1"/>
  <c r="B163" i="3"/>
  <c r="B135" i="11" s="1"/>
  <c r="B106" i="3"/>
  <c r="B86" i="11" s="1"/>
  <c r="B209" i="3"/>
  <c r="B175" i="11" s="1"/>
  <c r="B66" i="3"/>
  <c r="B52" i="11" s="1"/>
  <c r="B208" i="3"/>
  <c r="B174" i="11" s="1"/>
  <c r="B199" i="3"/>
  <c r="B166" i="11" s="1"/>
  <c r="B206" i="3"/>
  <c r="B172" i="11" s="1"/>
  <c r="B122" i="3"/>
  <c r="B100" i="11" s="1"/>
  <c r="B102" i="3"/>
  <c r="B83" i="11" s="1"/>
  <c r="B202" i="3"/>
  <c r="B169" i="11" s="1"/>
  <c r="B135" i="3"/>
  <c r="B111" i="11" s="1"/>
  <c r="B201" i="3"/>
  <c r="B168" i="11" s="1"/>
  <c r="B124" i="3"/>
  <c r="B102" i="11" s="1"/>
  <c r="B200" i="3"/>
  <c r="B167" i="11" s="1"/>
  <c r="B152" i="3"/>
  <c r="B126" i="11" s="1"/>
  <c r="B198" i="3"/>
  <c r="B165" i="11" s="1"/>
  <c r="B116" i="3"/>
  <c r="B95" i="11" s="1"/>
  <c r="B107" i="3"/>
  <c r="B87" i="11" s="1"/>
  <c r="B195" i="3"/>
  <c r="B163" i="11" s="1"/>
  <c r="B129" i="3"/>
  <c r="B106" i="11" s="1"/>
  <c r="B194" i="3"/>
  <c r="B162" i="11" s="1"/>
  <c r="B165" i="3"/>
  <c r="B137" i="11" s="1"/>
  <c r="B193" i="3"/>
  <c r="B161" i="11" s="1"/>
  <c r="B88" i="3"/>
  <c r="B71" i="11" s="1"/>
  <c r="B192" i="3"/>
  <c r="B160" i="11" s="1"/>
  <c r="B191" i="3"/>
  <c r="B159" i="11" s="1"/>
  <c r="B178" i="3"/>
  <c r="B148" i="11" s="1"/>
  <c r="B188" i="3"/>
  <c r="B157" i="11" s="1"/>
  <c r="B156" i="3"/>
  <c r="B129" i="11" s="1"/>
  <c r="B187" i="3"/>
  <c r="B156" i="11" s="1"/>
  <c r="B109" i="3"/>
  <c r="B89" i="11" s="1"/>
  <c r="B186" i="3"/>
  <c r="B155" i="11" s="1"/>
  <c r="B72" i="3"/>
  <c r="B57" i="11" s="1"/>
  <c r="B185" i="3"/>
  <c r="B154" i="11" s="1"/>
  <c r="B169" i="3"/>
  <c r="B140" i="11" s="1"/>
  <c r="B184" i="3"/>
  <c r="B153" i="11" s="1"/>
  <c r="B100" i="3"/>
  <c r="B81" i="11" s="1"/>
  <c r="B173" i="3"/>
  <c r="B144" i="11" s="1"/>
  <c r="B181" i="3"/>
  <c r="B151" i="11" s="1"/>
  <c r="B180" i="3"/>
  <c r="B150" i="11" s="1"/>
  <c r="B108" i="3"/>
  <c r="B88" i="11" s="1"/>
  <c r="B179" i="3"/>
  <c r="B149" i="11" s="1"/>
  <c r="B158" i="3"/>
  <c r="B131" i="11" s="1"/>
  <c r="B39" i="3"/>
  <c r="B29" i="11" s="1"/>
  <c r="B153" i="3"/>
  <c r="B127" i="11" s="1"/>
  <c r="B167" i="3"/>
  <c r="B139" i="11" s="1"/>
  <c r="B174" i="3"/>
  <c r="B145" i="11" s="1"/>
  <c r="B90" i="3"/>
  <c r="B73" i="11" s="1"/>
  <c r="B67" i="3"/>
  <c r="B53" i="11" s="1"/>
  <c r="B172" i="3"/>
  <c r="B143" i="11" s="1"/>
  <c r="B19" i="3"/>
  <c r="B12" i="11" s="1"/>
  <c r="B171" i="3"/>
  <c r="B142" i="11" s="1"/>
  <c r="B114" i="3"/>
  <c r="B93" i="11" s="1"/>
  <c r="B68" i="3"/>
  <c r="B54" i="11" s="1"/>
  <c r="B62" i="3"/>
  <c r="B49" i="11" s="1"/>
  <c r="B164" i="3"/>
  <c r="B136" i="11" s="1"/>
  <c r="B142" i="3"/>
  <c r="B117" i="11" s="1"/>
  <c r="B136" i="3"/>
  <c r="B112" i="11" s="1"/>
  <c r="B162" i="3"/>
  <c r="B134" i="11" s="1"/>
  <c r="B60" i="3"/>
  <c r="B47" i="11" s="1"/>
  <c r="B160" i="3"/>
  <c r="B133" i="11" s="1"/>
  <c r="B159" i="3"/>
  <c r="B132" i="11" s="1"/>
  <c r="B25" i="3"/>
  <c r="B17" i="11" s="1"/>
  <c r="B99" i="3"/>
  <c r="B80" i="11" s="1"/>
  <c r="B82" i="3"/>
  <c r="B66" i="11" s="1"/>
  <c r="B117" i="3"/>
  <c r="B96" i="11" s="1"/>
  <c r="B130" i="3"/>
  <c r="B107" i="11" s="1"/>
  <c r="B73" i="3"/>
  <c r="B58" i="11" s="1"/>
  <c r="B20" i="3"/>
  <c r="B13" i="11" s="1"/>
  <c r="B146" i="3"/>
  <c r="B121" i="11" s="1"/>
  <c r="B145" i="3"/>
  <c r="B120" i="11" s="1"/>
  <c r="B76" i="3"/>
  <c r="B61" i="11" s="1"/>
  <c r="B144" i="3"/>
  <c r="B119" i="11" s="1"/>
  <c r="B47" i="3"/>
  <c r="B36" i="11" s="1"/>
  <c r="B143" i="3"/>
  <c r="B118" i="11" s="1"/>
  <c r="B96" i="3"/>
  <c r="B78" i="11" s="1"/>
  <c r="B74" i="3"/>
  <c r="B59" i="11" s="1"/>
  <c r="B139" i="3"/>
  <c r="B115" i="11" s="1"/>
  <c r="B54" i="3"/>
  <c r="B42" i="11" s="1"/>
  <c r="B138" i="3"/>
  <c r="B114" i="11" s="1"/>
  <c r="B46" i="3"/>
  <c r="B35" i="11" s="1"/>
  <c r="B137" i="3"/>
  <c r="B113" i="11" s="1"/>
  <c r="B53" i="3"/>
  <c r="B41" i="11" s="1"/>
  <c r="B118" i="3"/>
  <c r="B97" i="11" s="1"/>
  <c r="B132" i="3"/>
  <c r="B109" i="11" s="1"/>
  <c r="B45" i="3"/>
  <c r="B34" i="11" s="1"/>
  <c r="B131" i="3"/>
  <c r="B108" i="11" s="1"/>
  <c r="B101" i="3"/>
  <c r="B82" i="11" s="1"/>
  <c r="B75" i="3"/>
  <c r="B60" i="11" s="1"/>
  <c r="B125" i="3"/>
  <c r="B103" i="11" s="1"/>
  <c r="B123" i="3"/>
  <c r="B101" i="11" s="1"/>
  <c r="B55" i="3"/>
  <c r="B43" i="11" s="1"/>
  <c r="B51" i="3"/>
  <c r="B39" i="11" s="1"/>
  <c r="B110" i="3"/>
  <c r="B90" i="11" s="1"/>
  <c r="B79" i="3"/>
  <c r="B63" i="11" s="1"/>
  <c r="B115" i="3"/>
  <c r="B94" i="11" s="1"/>
  <c r="B97" i="3"/>
  <c r="B79" i="11" s="1"/>
  <c r="B83" i="3"/>
  <c r="B67" i="11" s="1"/>
  <c r="B111" i="3"/>
  <c r="B91" i="11" s="1"/>
  <c r="B31" i="3"/>
  <c r="B22" i="11" s="1"/>
  <c r="B29" i="3"/>
  <c r="B20" i="11" s="1"/>
  <c r="B61" i="3"/>
  <c r="B48" i="11" s="1"/>
  <c r="B41" i="3"/>
  <c r="B31" i="11" s="1"/>
  <c r="B27" i="3"/>
  <c r="B19" i="11" s="1"/>
  <c r="B18" i="3"/>
  <c r="B11" i="11" s="1"/>
  <c r="B78" i="3"/>
  <c r="B62" i="11" s="1"/>
  <c r="B89" i="3"/>
  <c r="B72" i="11" s="1"/>
  <c r="B26" i="3"/>
  <c r="B18" i="11" s="1"/>
  <c r="B34" i="3"/>
  <c r="B25" i="11" s="1"/>
  <c r="B36" i="3"/>
  <c r="B26" i="11" s="1"/>
  <c r="B40" i="3"/>
  <c r="B30" i="11" s="1"/>
  <c r="B48" i="3"/>
  <c r="B37" i="11" s="1"/>
  <c r="B38" i="3"/>
  <c r="B28" i="11" s="1"/>
  <c r="B285" i="3"/>
  <c r="B240" i="11" s="1"/>
  <c r="B284" i="3"/>
  <c r="B239" i="11" s="1"/>
  <c r="B283" i="3"/>
  <c r="B238" i="11" s="1"/>
  <c r="B282" i="3"/>
  <c r="B237" i="11" s="1"/>
  <c r="B281" i="3"/>
  <c r="B236" i="11" s="1"/>
  <c r="B279" i="3"/>
  <c r="B235" i="11" s="1"/>
  <c r="B278" i="3"/>
  <c r="B234" i="11" s="1"/>
  <c r="B277" i="3"/>
  <c r="B233" i="11" s="1"/>
  <c r="B276" i="3"/>
  <c r="B232" i="11" s="1"/>
  <c r="B275" i="3"/>
  <c r="B231" i="11" s="1"/>
  <c r="B274" i="3"/>
  <c r="B230" i="11" s="1"/>
  <c r="B272" i="3"/>
  <c r="B229" i="11" s="1"/>
  <c r="B271" i="3"/>
  <c r="B228" i="11" s="1"/>
  <c r="B270" i="3"/>
  <c r="B227" i="11" s="1"/>
  <c r="B269" i="3"/>
  <c r="B226" i="11" s="1"/>
  <c r="B268" i="3"/>
  <c r="B225" i="11" s="1"/>
  <c r="B267" i="3"/>
  <c r="B224" i="11" s="1"/>
  <c r="B265" i="3"/>
  <c r="B223" i="11" s="1"/>
  <c r="B264" i="3"/>
  <c r="B222" i="11" s="1"/>
  <c r="B263" i="3"/>
  <c r="B221" i="11" s="1"/>
  <c r="B262" i="3"/>
  <c r="B220" i="11" s="1"/>
  <c r="B261" i="3"/>
  <c r="B219" i="11" s="1"/>
  <c r="B260" i="3"/>
  <c r="B218" i="11" s="1"/>
  <c r="B258" i="3"/>
  <c r="B217" i="11" s="1"/>
  <c r="B257" i="3"/>
  <c r="B216" i="11" s="1"/>
  <c r="B256" i="3"/>
  <c r="B215" i="11" s="1"/>
  <c r="B255" i="3"/>
  <c r="B214" i="11" s="1"/>
  <c r="B254" i="3"/>
  <c r="B213" i="11" s="1"/>
  <c r="B253" i="3"/>
  <c r="B251"/>
  <c r="B211" i="11" s="1"/>
  <c r="B250" i="3"/>
  <c r="B249"/>
  <c r="B209" i="11"/>
  <c r="B248" i="3"/>
  <c r="B247"/>
  <c r="B207" i="11" s="1"/>
  <c r="B246" i="3"/>
  <c r="B206" i="11" s="1"/>
  <c r="B244" i="3"/>
  <c r="B205" i="11" s="1"/>
  <c r="B13" i="3"/>
  <c r="B243"/>
  <c r="B204" i="11" s="1"/>
  <c r="B12" i="3"/>
  <c r="B6" i="11" s="1"/>
  <c r="B242" i="3"/>
  <c r="B11"/>
  <c r="B5" i="11" s="1"/>
  <c r="B241" i="3"/>
  <c r="B202" i="11" s="1"/>
  <c r="B10" i="3"/>
  <c r="B4" i="11" s="1"/>
  <c r="B240" i="3"/>
  <c r="B201" i="11" s="1"/>
  <c r="B9" i="3"/>
  <c r="B3" i="11" s="1"/>
  <c r="B239" i="3"/>
  <c r="B200" i="11" s="1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0"/>
  <c r="F67"/>
  <c r="F65"/>
  <c r="F63"/>
  <c r="F57"/>
  <c r="F55"/>
  <c r="F53"/>
  <c r="F51"/>
  <c r="F46"/>
  <c r="F43"/>
  <c r="F42"/>
  <c r="F41"/>
  <c r="F40"/>
  <c r="F39"/>
  <c r="F38"/>
  <c r="F34"/>
  <c r="F31"/>
  <c r="F30"/>
  <c r="F29"/>
  <c r="F28"/>
  <c r="F27"/>
  <c r="F26"/>
  <c r="F22"/>
  <c r="F19"/>
  <c r="F15"/>
  <c r="E14" i="10"/>
  <c r="E8"/>
  <c r="E13"/>
  <c r="E34"/>
  <c r="E33"/>
  <c r="E25"/>
  <c r="E32"/>
  <c r="E30"/>
  <c r="E31"/>
  <c r="E23"/>
  <c r="E5"/>
  <c r="E29"/>
  <c r="E17"/>
  <c r="E28"/>
  <c r="E27"/>
  <c r="E15"/>
  <c r="E26"/>
  <c r="E24"/>
  <c r="E19"/>
  <c r="E22"/>
  <c r="E18"/>
  <c r="E21"/>
  <c r="E20"/>
  <c r="E12"/>
  <c r="E16"/>
  <c r="E6"/>
  <c r="E41"/>
  <c r="E40"/>
  <c r="E39"/>
  <c r="E38"/>
  <c r="E37"/>
  <c r="E36"/>
  <c r="E35"/>
  <c r="C237" i="8"/>
  <c r="G237" s="1"/>
  <c r="C238"/>
  <c r="E238" s="1"/>
  <c r="C239"/>
  <c r="C240"/>
  <c r="G240" s="1"/>
  <c r="C241"/>
  <c r="E241" s="1"/>
  <c r="C236"/>
  <c r="E236"/>
  <c r="C231"/>
  <c r="C232"/>
  <c r="G232" s="1"/>
  <c r="C233"/>
  <c r="G233" s="1"/>
  <c r="C234"/>
  <c r="G234" s="1"/>
  <c r="C235"/>
  <c r="C230"/>
  <c r="G230" s="1"/>
  <c r="C225"/>
  <c r="C226"/>
  <c r="E226"/>
  <c r="C227"/>
  <c r="C228"/>
  <c r="E228" s="1"/>
  <c r="C229"/>
  <c r="C224"/>
  <c r="E224" s="1"/>
  <c r="C219"/>
  <c r="C220"/>
  <c r="G220" s="1"/>
  <c r="C221"/>
  <c r="E221" s="1"/>
  <c r="C222"/>
  <c r="G222"/>
  <c r="C223"/>
  <c r="C218"/>
  <c r="G218" s="1"/>
  <c r="C213"/>
  <c r="E213" s="1"/>
  <c r="C214"/>
  <c r="E214" s="1"/>
  <c r="C215"/>
  <c r="C216"/>
  <c r="E216" s="1"/>
  <c r="C217"/>
  <c r="E217" s="1"/>
  <c r="C212"/>
  <c r="E212"/>
  <c r="C207"/>
  <c r="C208"/>
  <c r="G208" s="1"/>
  <c r="C209"/>
  <c r="G209" s="1"/>
  <c r="C210"/>
  <c r="G210" s="1"/>
  <c r="C211"/>
  <c r="C206"/>
  <c r="G206" s="1"/>
  <c r="C201"/>
  <c r="G201" s="1"/>
  <c r="C202"/>
  <c r="E202"/>
  <c r="C203"/>
  <c r="C204"/>
  <c r="E204" s="1"/>
  <c r="C205"/>
  <c r="C200"/>
  <c r="E200" s="1"/>
  <c r="C195"/>
  <c r="C196"/>
  <c r="E196" s="1"/>
  <c r="C197"/>
  <c r="G197" s="1"/>
  <c r="C198"/>
  <c r="E198"/>
  <c r="C199"/>
  <c r="C194"/>
  <c r="E194" s="1"/>
  <c r="C189"/>
  <c r="G189" s="1"/>
  <c r="C190"/>
  <c r="E190" s="1"/>
  <c r="C191"/>
  <c r="C192"/>
  <c r="E192" s="1"/>
  <c r="C193"/>
  <c r="G193" s="1"/>
  <c r="C188"/>
  <c r="E188"/>
  <c r="C183"/>
  <c r="C184"/>
  <c r="E184" s="1"/>
  <c r="C185"/>
  <c r="E185" s="1"/>
  <c r="C186"/>
  <c r="E186" s="1"/>
  <c r="C187"/>
  <c r="C182"/>
  <c r="E182" s="1"/>
  <c r="C177"/>
  <c r="E177" s="1"/>
  <c r="C178"/>
  <c r="E178"/>
  <c r="C179"/>
  <c r="C180"/>
  <c r="E180" s="1"/>
  <c r="C181"/>
  <c r="E181" s="1"/>
  <c r="C176"/>
  <c r="E176" s="1"/>
  <c r="C171"/>
  <c r="C172"/>
  <c r="E172" s="1"/>
  <c r="C173"/>
  <c r="G173" s="1"/>
  <c r="C174"/>
  <c r="E174"/>
  <c r="C175"/>
  <c r="C170"/>
  <c r="E170" s="1"/>
  <c r="C165"/>
  <c r="G165" s="1"/>
  <c r="C166"/>
  <c r="E166" s="1"/>
  <c r="C167"/>
  <c r="C168"/>
  <c r="E168" s="1"/>
  <c r="C169"/>
  <c r="G169" s="1"/>
  <c r="C164"/>
  <c r="C159"/>
  <c r="G159" s="1"/>
  <c r="C160"/>
  <c r="C161"/>
  <c r="G161" s="1"/>
  <c r="C162"/>
  <c r="G162"/>
  <c r="C163"/>
  <c r="C158"/>
  <c r="G158" s="1"/>
  <c r="C153"/>
  <c r="E153" s="1"/>
  <c r="C154"/>
  <c r="G154" s="1"/>
  <c r="C155"/>
  <c r="C156"/>
  <c r="C157"/>
  <c r="C152"/>
  <c r="C147"/>
  <c r="C148"/>
  <c r="C149"/>
  <c r="C150"/>
  <c r="G150" s="1"/>
  <c r="C151"/>
  <c r="E151" s="1"/>
  <c r="C146"/>
  <c r="G146"/>
  <c r="C141"/>
  <c r="C142"/>
  <c r="G142" s="1"/>
  <c r="C143"/>
  <c r="G143" s="1"/>
  <c r="C144"/>
  <c r="C145"/>
  <c r="G145" s="1"/>
  <c r="C140"/>
  <c r="C135"/>
  <c r="E135" s="1"/>
  <c r="C136"/>
  <c r="C137"/>
  <c r="E137" s="1"/>
  <c r="C138"/>
  <c r="G138" s="1"/>
  <c r="C139"/>
  <c r="C134"/>
  <c r="G134" s="1"/>
  <c r="C129"/>
  <c r="G129" s="1"/>
  <c r="C130"/>
  <c r="G130"/>
  <c r="C131"/>
  <c r="C132"/>
  <c r="C133"/>
  <c r="C128"/>
  <c r="C123"/>
  <c r="C124"/>
  <c r="C125"/>
  <c r="C126"/>
  <c r="G126" s="1"/>
  <c r="C127"/>
  <c r="G127" s="1"/>
  <c r="C122"/>
  <c r="G122" s="1"/>
  <c r="C117"/>
  <c r="C118"/>
  <c r="G118" s="1"/>
  <c r="C119"/>
  <c r="E119" s="1"/>
  <c r="C120"/>
  <c r="C121"/>
  <c r="E121" s="1"/>
  <c r="C116"/>
  <c r="C111"/>
  <c r="G111" s="1"/>
  <c r="C112"/>
  <c r="C113"/>
  <c r="G113" s="1"/>
  <c r="C114"/>
  <c r="G114"/>
  <c r="C115"/>
  <c r="C110"/>
  <c r="G110" s="1"/>
  <c r="C105"/>
  <c r="C106"/>
  <c r="G106" s="1"/>
  <c r="C107"/>
  <c r="C108"/>
  <c r="C109"/>
  <c r="G109" s="1"/>
  <c r="C104"/>
  <c r="C99"/>
  <c r="E99" s="1"/>
  <c r="C100"/>
  <c r="G100"/>
  <c r="C101"/>
  <c r="C102"/>
  <c r="G102" s="1"/>
  <c r="C103"/>
  <c r="E103" s="1"/>
  <c r="C98"/>
  <c r="G98" s="1"/>
  <c r="C93"/>
  <c r="C94"/>
  <c r="G94" s="1"/>
  <c r="C95"/>
  <c r="E95" s="1"/>
  <c r="C96"/>
  <c r="C97"/>
  <c r="E97" s="1"/>
  <c r="C92"/>
  <c r="G92"/>
  <c r="C87"/>
  <c r="C88"/>
  <c r="C89"/>
  <c r="C90"/>
  <c r="G90" s="1"/>
  <c r="C91"/>
  <c r="E91" s="1"/>
  <c r="C86"/>
  <c r="G86" s="1"/>
  <c r="C81"/>
  <c r="C82"/>
  <c r="G82" s="1"/>
  <c r="C83"/>
  <c r="E83" s="1"/>
  <c r="C84"/>
  <c r="G84"/>
  <c r="C85"/>
  <c r="C80"/>
  <c r="C75"/>
  <c r="C76"/>
  <c r="C77"/>
  <c r="E77" s="1"/>
  <c r="C78"/>
  <c r="G78" s="1"/>
  <c r="C79"/>
  <c r="C74"/>
  <c r="G74" s="1"/>
  <c r="C69"/>
  <c r="C70"/>
  <c r="G70"/>
  <c r="E70" s="1"/>
  <c r="C71"/>
  <c r="C72"/>
  <c r="G72" s="1"/>
  <c r="C73"/>
  <c r="C68"/>
  <c r="G68" s="1"/>
  <c r="C63"/>
  <c r="C64"/>
  <c r="G64" s="1"/>
  <c r="C65"/>
  <c r="C66"/>
  <c r="G66" s="1"/>
  <c r="C67"/>
  <c r="C62"/>
  <c r="G62" s="1"/>
  <c r="E62" s="1"/>
  <c r="C57"/>
  <c r="C58"/>
  <c r="C59"/>
  <c r="G59" s="1"/>
  <c r="C60"/>
  <c r="G60" s="1"/>
  <c r="E60" s="1"/>
  <c r="C61"/>
  <c r="G61" s="1"/>
  <c r="C56"/>
  <c r="G56"/>
  <c r="C51"/>
  <c r="C52"/>
  <c r="G52" s="1"/>
  <c r="C53"/>
  <c r="C54"/>
  <c r="C55"/>
  <c r="G55" s="1"/>
  <c r="C50"/>
  <c r="G50" s="1"/>
  <c r="E50" s="1"/>
  <c r="C45"/>
  <c r="C46"/>
  <c r="G46"/>
  <c r="C47"/>
  <c r="C48"/>
  <c r="G48" s="1"/>
  <c r="C49"/>
  <c r="G49" s="1"/>
  <c r="C44"/>
  <c r="G44" s="1"/>
  <c r="E44" s="1"/>
  <c r="C39"/>
  <c r="G39" s="1"/>
  <c r="C40"/>
  <c r="G40"/>
  <c r="C41"/>
  <c r="G41"/>
  <c r="E41" s="1"/>
  <c r="C42"/>
  <c r="G42" s="1"/>
  <c r="C43"/>
  <c r="G43" s="1"/>
  <c r="C38"/>
  <c r="G38" s="1"/>
  <c r="E38" s="1"/>
  <c r="C33"/>
  <c r="G33" s="1"/>
  <c r="C34"/>
  <c r="C35"/>
  <c r="C36"/>
  <c r="G36"/>
  <c r="E36" s="1"/>
  <c r="C37"/>
  <c r="G37" s="1"/>
  <c r="C32"/>
  <c r="G32" s="1"/>
  <c r="E32" s="1"/>
  <c r="C27"/>
  <c r="G27" s="1"/>
  <c r="C28"/>
  <c r="G28" s="1"/>
  <c r="E28" s="1"/>
  <c r="C29"/>
  <c r="C30"/>
  <c r="G30"/>
  <c r="E30" s="1"/>
  <c r="C31"/>
  <c r="G31" s="1"/>
  <c r="C26"/>
  <c r="C21"/>
  <c r="C22"/>
  <c r="G22" s="1"/>
  <c r="C23"/>
  <c r="C24"/>
  <c r="G24" s="1"/>
  <c r="E24"/>
  <c r="C25"/>
  <c r="C20"/>
  <c r="C15"/>
  <c r="C16"/>
  <c r="C17"/>
  <c r="C18"/>
  <c r="G18" s="1"/>
  <c r="C19"/>
  <c r="C14"/>
  <c r="C9"/>
  <c r="C10"/>
  <c r="G10" s="1"/>
  <c r="E10"/>
  <c r="C11"/>
  <c r="G11"/>
  <c r="E11" s="1"/>
  <c r="C12"/>
  <c r="G12" s="1"/>
  <c r="C13"/>
  <c r="G13" s="1"/>
  <c r="C8"/>
  <c r="G8" s="1"/>
  <c r="C3"/>
  <c r="C4"/>
  <c r="G4"/>
  <c r="E4" s="1"/>
  <c r="C5"/>
  <c r="G5" s="1"/>
  <c r="C6"/>
  <c r="G6" s="1"/>
  <c r="E6" s="1"/>
  <c r="C7"/>
  <c r="G7" s="1"/>
  <c r="C2"/>
  <c r="G2"/>
  <c r="E2" s="1"/>
  <c r="C237" i="6"/>
  <c r="E237" s="1"/>
  <c r="C238"/>
  <c r="C239"/>
  <c r="E239" s="1"/>
  <c r="C240"/>
  <c r="C241"/>
  <c r="E241" s="1"/>
  <c r="C236"/>
  <c r="E236" s="1"/>
  <c r="C231"/>
  <c r="C232"/>
  <c r="E232" s="1"/>
  <c r="C233"/>
  <c r="C234"/>
  <c r="E234" s="1"/>
  <c r="C235"/>
  <c r="C230"/>
  <c r="E230" s="1"/>
  <c r="C225"/>
  <c r="C226"/>
  <c r="E226" s="1"/>
  <c r="C227"/>
  <c r="C228"/>
  <c r="E228" s="1"/>
  <c r="C229"/>
  <c r="C224"/>
  <c r="E224" s="1"/>
  <c r="C219"/>
  <c r="C220"/>
  <c r="C221"/>
  <c r="C222"/>
  <c r="C223"/>
  <c r="C218"/>
  <c r="C213"/>
  <c r="C214"/>
  <c r="C215"/>
  <c r="C216"/>
  <c r="C217"/>
  <c r="C212"/>
  <c r="E212"/>
  <c r="C207"/>
  <c r="C208"/>
  <c r="C209"/>
  <c r="C210"/>
  <c r="C211"/>
  <c r="C206"/>
  <c r="C201"/>
  <c r="C202"/>
  <c r="C203"/>
  <c r="C204"/>
  <c r="C205"/>
  <c r="C200"/>
  <c r="E200" s="1"/>
  <c r="C195"/>
  <c r="E195" s="1"/>
  <c r="C196"/>
  <c r="C197"/>
  <c r="E197" s="1"/>
  <c r="C198"/>
  <c r="C199"/>
  <c r="E199" s="1"/>
  <c r="C194"/>
  <c r="C189"/>
  <c r="E189" s="1"/>
  <c r="C190"/>
  <c r="C191"/>
  <c r="E191" s="1"/>
  <c r="C192"/>
  <c r="C193"/>
  <c r="E193" s="1"/>
  <c r="C188"/>
  <c r="E188" s="1"/>
  <c r="C183"/>
  <c r="C184"/>
  <c r="E184" s="1"/>
  <c r="C185"/>
  <c r="C186"/>
  <c r="E186" s="1"/>
  <c r="C187"/>
  <c r="C182"/>
  <c r="E182" s="1"/>
  <c r="C177"/>
  <c r="C178"/>
  <c r="E178" s="1"/>
  <c r="C179"/>
  <c r="C180"/>
  <c r="E180" s="1"/>
  <c r="C181"/>
  <c r="C176"/>
  <c r="E176" s="1"/>
  <c r="C171"/>
  <c r="C172"/>
  <c r="C173"/>
  <c r="C174"/>
  <c r="C175"/>
  <c r="C170"/>
  <c r="C165"/>
  <c r="C166"/>
  <c r="C167"/>
  <c r="C168"/>
  <c r="C169"/>
  <c r="C164"/>
  <c r="E164"/>
  <c r="C159"/>
  <c r="C160"/>
  <c r="C161"/>
  <c r="C162"/>
  <c r="C163"/>
  <c r="C158"/>
  <c r="C153"/>
  <c r="C154"/>
  <c r="C155"/>
  <c r="C156"/>
  <c r="C157"/>
  <c r="C152"/>
  <c r="E152" s="1"/>
  <c r="C147"/>
  <c r="E147" s="1"/>
  <c r="C148"/>
  <c r="C149"/>
  <c r="E149" s="1"/>
  <c r="C150"/>
  <c r="C151"/>
  <c r="E151" s="1"/>
  <c r="C146"/>
  <c r="C141"/>
  <c r="E141" s="1"/>
  <c r="C142"/>
  <c r="C143"/>
  <c r="E143" s="1"/>
  <c r="C144"/>
  <c r="C145"/>
  <c r="E145" s="1"/>
  <c r="C140"/>
  <c r="E140" s="1"/>
  <c r="C135"/>
  <c r="C136"/>
  <c r="E136" s="1"/>
  <c r="C137"/>
  <c r="C138"/>
  <c r="E138" s="1"/>
  <c r="C139"/>
  <c r="C134"/>
  <c r="E134" s="1"/>
  <c r="C129"/>
  <c r="C130"/>
  <c r="E130" s="1"/>
  <c r="C131"/>
  <c r="C132"/>
  <c r="E132" s="1"/>
  <c r="C133"/>
  <c r="C128"/>
  <c r="E128" s="1"/>
  <c r="C123"/>
  <c r="C124"/>
  <c r="C125"/>
  <c r="C126"/>
  <c r="C127"/>
  <c r="C122"/>
  <c r="C117"/>
  <c r="C118"/>
  <c r="C119"/>
  <c r="C120"/>
  <c r="C121"/>
  <c r="C116"/>
  <c r="E116"/>
  <c r="C111"/>
  <c r="C112"/>
  <c r="C113"/>
  <c r="C114"/>
  <c r="C115"/>
  <c r="C110"/>
  <c r="C105"/>
  <c r="C106"/>
  <c r="C107"/>
  <c r="C108"/>
  <c r="C109"/>
  <c r="C104"/>
  <c r="E104" s="1"/>
  <c r="C99"/>
  <c r="E99" s="1"/>
  <c r="C100"/>
  <c r="C101"/>
  <c r="E101" s="1"/>
  <c r="C102"/>
  <c r="C103"/>
  <c r="E103" s="1"/>
  <c r="C98"/>
  <c r="C93"/>
  <c r="E93" s="1"/>
  <c r="C94"/>
  <c r="C95"/>
  <c r="E95" s="1"/>
  <c r="C96"/>
  <c r="C97"/>
  <c r="E97" s="1"/>
  <c r="C92"/>
  <c r="E92"/>
  <c r="C87"/>
  <c r="C88"/>
  <c r="E88" s="1"/>
  <c r="C89"/>
  <c r="C90"/>
  <c r="E90" s="1"/>
  <c r="C91"/>
  <c r="C86"/>
  <c r="E86" s="1"/>
  <c r="C81"/>
  <c r="C82"/>
  <c r="E82" s="1"/>
  <c r="C83"/>
  <c r="C84"/>
  <c r="E84" s="1"/>
  <c r="C85"/>
  <c r="C80"/>
  <c r="E80" s="1"/>
  <c r="C75"/>
  <c r="C76"/>
  <c r="C77"/>
  <c r="C78"/>
  <c r="C79"/>
  <c r="C74"/>
  <c r="C69"/>
  <c r="C70"/>
  <c r="C71"/>
  <c r="C72"/>
  <c r="C73"/>
  <c r="C68"/>
  <c r="E68" s="1"/>
  <c r="C63"/>
  <c r="C64"/>
  <c r="C65"/>
  <c r="C66"/>
  <c r="C67"/>
  <c r="C62"/>
  <c r="C57"/>
  <c r="C58"/>
  <c r="E58" s="1"/>
  <c r="C59"/>
  <c r="E59" s="1"/>
  <c r="C60"/>
  <c r="C61"/>
  <c r="C56"/>
  <c r="E56" s="1"/>
  <c r="C51"/>
  <c r="E51" s="1"/>
  <c r="C52"/>
  <c r="C53"/>
  <c r="E53" s="1"/>
  <c r="C54"/>
  <c r="C55"/>
  <c r="E55" s="1"/>
  <c r="C50"/>
  <c r="C45"/>
  <c r="E45" s="1"/>
  <c r="C46"/>
  <c r="C47"/>
  <c r="E47" s="1"/>
  <c r="C48"/>
  <c r="C49"/>
  <c r="E49" s="1"/>
  <c r="C44"/>
  <c r="C39"/>
  <c r="E39" s="1"/>
  <c r="C40"/>
  <c r="C41"/>
  <c r="E41" s="1"/>
  <c r="C42"/>
  <c r="C43"/>
  <c r="E43" s="1"/>
  <c r="C38"/>
  <c r="C33"/>
  <c r="E33" s="1"/>
  <c r="C34"/>
  <c r="C35"/>
  <c r="E35" s="1"/>
  <c r="C36"/>
  <c r="C37"/>
  <c r="E37" s="1"/>
  <c r="C32"/>
  <c r="C27"/>
  <c r="E27" s="1"/>
  <c r="C28"/>
  <c r="E28"/>
  <c r="C29"/>
  <c r="C30"/>
  <c r="E30" s="1"/>
  <c r="C31"/>
  <c r="C26"/>
  <c r="E26" s="1"/>
  <c r="C21"/>
  <c r="C22"/>
  <c r="C23"/>
  <c r="C24"/>
  <c r="C25"/>
  <c r="C20"/>
  <c r="E20" s="1"/>
  <c r="C15"/>
  <c r="E15" s="1"/>
  <c r="C16"/>
  <c r="E16" s="1"/>
  <c r="C17"/>
  <c r="C18"/>
  <c r="C19"/>
  <c r="C14"/>
  <c r="C9"/>
  <c r="C10"/>
  <c r="C11"/>
  <c r="C12"/>
  <c r="C13"/>
  <c r="C8"/>
  <c r="E8" s="1"/>
  <c r="C3"/>
  <c r="E3" s="1"/>
  <c r="C4"/>
  <c r="E4" s="1"/>
  <c r="C5"/>
  <c r="E5" s="1"/>
  <c r="C6"/>
  <c r="C7"/>
  <c r="E7" s="1"/>
  <c r="C2"/>
  <c r="E2" s="1"/>
  <c r="C237" i="7"/>
  <c r="C238"/>
  <c r="C239"/>
  <c r="C240"/>
  <c r="C241"/>
  <c r="C236"/>
  <c r="E236" s="1"/>
  <c r="C231"/>
  <c r="E231" s="1"/>
  <c r="C232"/>
  <c r="C233"/>
  <c r="E233" s="1"/>
  <c r="C234"/>
  <c r="C235"/>
  <c r="E235" s="1"/>
  <c r="C230"/>
  <c r="C225"/>
  <c r="E225" s="1"/>
  <c r="C226"/>
  <c r="C227"/>
  <c r="E227" s="1"/>
  <c r="C228"/>
  <c r="C229"/>
  <c r="E229" s="1"/>
  <c r="C224"/>
  <c r="E224"/>
  <c r="C219"/>
  <c r="C220"/>
  <c r="E220" s="1"/>
  <c r="C221"/>
  <c r="C222"/>
  <c r="E222" s="1"/>
  <c r="C223"/>
  <c r="C218"/>
  <c r="E218" s="1"/>
  <c r="C213"/>
  <c r="C214"/>
  <c r="E214" s="1"/>
  <c r="C215"/>
  <c r="C216"/>
  <c r="E216" s="1"/>
  <c r="C217"/>
  <c r="C212"/>
  <c r="E212" s="1"/>
  <c r="C207"/>
  <c r="C208"/>
  <c r="C209"/>
  <c r="C210"/>
  <c r="C211"/>
  <c r="C206"/>
  <c r="C201"/>
  <c r="C202"/>
  <c r="C203"/>
  <c r="C204"/>
  <c r="C205"/>
  <c r="C200"/>
  <c r="E200" s="1"/>
  <c r="C195"/>
  <c r="C196"/>
  <c r="C197"/>
  <c r="C198"/>
  <c r="C199"/>
  <c r="C194"/>
  <c r="C189"/>
  <c r="C190"/>
  <c r="C191"/>
  <c r="C192"/>
  <c r="C193"/>
  <c r="C188"/>
  <c r="E188" s="1"/>
  <c r="C183"/>
  <c r="E183" s="1"/>
  <c r="C184"/>
  <c r="C185"/>
  <c r="E185" s="1"/>
  <c r="C186"/>
  <c r="C187"/>
  <c r="E187" s="1"/>
  <c r="C182"/>
  <c r="C177"/>
  <c r="E177" s="1"/>
  <c r="C178"/>
  <c r="C179"/>
  <c r="E179" s="1"/>
  <c r="C180"/>
  <c r="C181"/>
  <c r="E181" s="1"/>
  <c r="C176"/>
  <c r="E176"/>
  <c r="C171"/>
  <c r="C172"/>
  <c r="E172" s="1"/>
  <c r="C173"/>
  <c r="C174"/>
  <c r="E174" s="1"/>
  <c r="C175"/>
  <c r="C170"/>
  <c r="E170" s="1"/>
  <c r="C165"/>
  <c r="C166"/>
  <c r="E166" s="1"/>
  <c r="C167"/>
  <c r="C168"/>
  <c r="E168" s="1"/>
  <c r="C169"/>
  <c r="C164"/>
  <c r="E164" s="1"/>
  <c r="C159"/>
  <c r="C160"/>
  <c r="C161"/>
  <c r="C162"/>
  <c r="C163"/>
  <c r="C158"/>
  <c r="C153"/>
  <c r="C154"/>
  <c r="C155"/>
  <c r="C156"/>
  <c r="C157"/>
  <c r="C152"/>
  <c r="E152" s="1"/>
  <c r="C147"/>
  <c r="C148"/>
  <c r="C149"/>
  <c r="C150"/>
  <c r="C151"/>
  <c r="C146"/>
  <c r="C141"/>
  <c r="C142"/>
  <c r="C143"/>
  <c r="C144"/>
  <c r="C145"/>
  <c r="C140"/>
  <c r="E140" s="1"/>
  <c r="C135"/>
  <c r="E135" s="1"/>
  <c r="C136"/>
  <c r="C137"/>
  <c r="E137" s="1"/>
  <c r="C138"/>
  <c r="C139"/>
  <c r="E139" s="1"/>
  <c r="C134"/>
  <c r="C129"/>
  <c r="E129" s="1"/>
  <c r="C130"/>
  <c r="C131"/>
  <c r="E131" s="1"/>
  <c r="C132"/>
  <c r="C133"/>
  <c r="E133" s="1"/>
  <c r="C128"/>
  <c r="E128"/>
  <c r="C123"/>
  <c r="C124"/>
  <c r="E124" s="1"/>
  <c r="C125"/>
  <c r="C126"/>
  <c r="E126" s="1"/>
  <c r="C127"/>
  <c r="C122"/>
  <c r="E122" s="1"/>
  <c r="C117"/>
  <c r="C118"/>
  <c r="E118" s="1"/>
  <c r="C119"/>
  <c r="C120"/>
  <c r="E120" s="1"/>
  <c r="C121"/>
  <c r="C116"/>
  <c r="E116" s="1"/>
  <c r="C111"/>
  <c r="C112"/>
  <c r="C113"/>
  <c r="C114"/>
  <c r="C115"/>
  <c r="C110"/>
  <c r="C105"/>
  <c r="C106"/>
  <c r="C107"/>
  <c r="C108"/>
  <c r="C109"/>
  <c r="C104"/>
  <c r="E104" s="1"/>
  <c r="C99"/>
  <c r="C100"/>
  <c r="C101"/>
  <c r="C102"/>
  <c r="C103"/>
  <c r="C98"/>
  <c r="C93"/>
  <c r="C94"/>
  <c r="C95"/>
  <c r="C96"/>
  <c r="C97"/>
  <c r="C92"/>
  <c r="E92" s="1"/>
  <c r="C87"/>
  <c r="E87" s="1"/>
  <c r="C88"/>
  <c r="C89"/>
  <c r="E89" s="1"/>
  <c r="C90"/>
  <c r="C91"/>
  <c r="E91" s="1"/>
  <c r="C86"/>
  <c r="C81"/>
  <c r="E81" s="1"/>
  <c r="C82"/>
  <c r="C83"/>
  <c r="E83" s="1"/>
  <c r="C84"/>
  <c r="C85"/>
  <c r="E85" s="1"/>
  <c r="C80"/>
  <c r="E80"/>
  <c r="C75"/>
  <c r="C76"/>
  <c r="E76" s="1"/>
  <c r="C77"/>
  <c r="C78"/>
  <c r="E78" s="1"/>
  <c r="C79"/>
  <c r="C74"/>
  <c r="E74" s="1"/>
  <c r="C69"/>
  <c r="C70"/>
  <c r="E70" s="1"/>
  <c r="C71"/>
  <c r="C72"/>
  <c r="E72" s="1"/>
  <c r="C73"/>
  <c r="C68"/>
  <c r="E68" s="1"/>
  <c r="C63"/>
  <c r="C64"/>
  <c r="C65"/>
  <c r="C66"/>
  <c r="C67"/>
  <c r="C62"/>
  <c r="C57"/>
  <c r="C58"/>
  <c r="C59"/>
  <c r="C60"/>
  <c r="C61"/>
  <c r="C56"/>
  <c r="E56" s="1"/>
  <c r="C51"/>
  <c r="C52"/>
  <c r="C53"/>
  <c r="C54"/>
  <c r="C55"/>
  <c r="C50"/>
  <c r="C45"/>
  <c r="C46"/>
  <c r="C47"/>
  <c r="C48"/>
  <c r="C49"/>
  <c r="C44"/>
  <c r="E44" s="1"/>
  <c r="C39"/>
  <c r="E39" s="1"/>
  <c r="C40"/>
  <c r="C41"/>
  <c r="E41" s="1"/>
  <c r="C42"/>
  <c r="C43"/>
  <c r="E43" s="1"/>
  <c r="C38"/>
  <c r="C33"/>
  <c r="E33" s="1"/>
  <c r="C34"/>
  <c r="C35"/>
  <c r="E35" s="1"/>
  <c r="C36"/>
  <c r="C37"/>
  <c r="E37" s="1"/>
  <c r="C32"/>
  <c r="E32"/>
  <c r="C27"/>
  <c r="C28"/>
  <c r="E28" s="1"/>
  <c r="C29"/>
  <c r="C30"/>
  <c r="E30" s="1"/>
  <c r="C31"/>
  <c r="C26"/>
  <c r="E26" s="1"/>
  <c r="C21"/>
  <c r="C22"/>
  <c r="E22" s="1"/>
  <c r="C23"/>
  <c r="E23"/>
  <c r="C24"/>
  <c r="E24"/>
  <c r="C25"/>
  <c r="C20"/>
  <c r="E20" s="1"/>
  <c r="C15"/>
  <c r="C16"/>
  <c r="E16" s="1"/>
  <c r="C17"/>
  <c r="C18"/>
  <c r="E18" s="1"/>
  <c r="C19"/>
  <c r="C14"/>
  <c r="E14" s="1"/>
  <c r="C9"/>
  <c r="C10"/>
  <c r="C11"/>
  <c r="C12"/>
  <c r="E12" s="1"/>
  <c r="C13"/>
  <c r="C8"/>
  <c r="C3"/>
  <c r="C4"/>
  <c r="C5"/>
  <c r="C6"/>
  <c r="C7"/>
  <c r="C2"/>
  <c r="E7" i="8"/>
  <c r="G9"/>
  <c r="G15"/>
  <c r="G17"/>
  <c r="G19"/>
  <c r="E19" s="1"/>
  <c r="G23"/>
  <c r="G25"/>
  <c r="G29"/>
  <c r="G35"/>
  <c r="G47"/>
  <c r="G51"/>
  <c r="G57"/>
  <c r="E57" s="1"/>
  <c r="G65"/>
  <c r="G69"/>
  <c r="G71"/>
  <c r="G73"/>
  <c r="G75"/>
  <c r="E75"/>
  <c r="G77"/>
  <c r="G79"/>
  <c r="E79"/>
  <c r="G81"/>
  <c r="E81"/>
  <c r="G83"/>
  <c r="G85"/>
  <c r="E85"/>
  <c r="G87"/>
  <c r="E87"/>
  <c r="G89"/>
  <c r="E89"/>
  <c r="G91"/>
  <c r="G93"/>
  <c r="E93"/>
  <c r="G95"/>
  <c r="G97"/>
  <c r="G99"/>
  <c r="G101"/>
  <c r="E101"/>
  <c r="G103"/>
  <c r="G107"/>
  <c r="E107"/>
  <c r="E109"/>
  <c r="E111"/>
  <c r="E113"/>
  <c r="G115"/>
  <c r="E115"/>
  <c r="G117"/>
  <c r="E117"/>
  <c r="G119"/>
  <c r="G121"/>
  <c r="G123"/>
  <c r="E123"/>
  <c r="G125"/>
  <c r="E125"/>
  <c r="E126"/>
  <c r="E127"/>
  <c r="E129"/>
  <c r="G131"/>
  <c r="E131"/>
  <c r="G133"/>
  <c r="E133"/>
  <c r="G135"/>
  <c r="G137"/>
  <c r="G139"/>
  <c r="E139"/>
  <c r="G141"/>
  <c r="E141"/>
  <c r="E142"/>
  <c r="E143"/>
  <c r="E145"/>
  <c r="G147"/>
  <c r="E147"/>
  <c r="G149"/>
  <c r="E149"/>
  <c r="G151"/>
  <c r="G153"/>
  <c r="G155"/>
  <c r="E155"/>
  <c r="G157"/>
  <c r="E157"/>
  <c r="E158"/>
  <c r="E159"/>
  <c r="E161"/>
  <c r="G163"/>
  <c r="E163"/>
  <c r="E165"/>
  <c r="G166"/>
  <c r="G167"/>
  <c r="E167"/>
  <c r="G168"/>
  <c r="E169"/>
  <c r="G171"/>
  <c r="E171"/>
  <c r="G172"/>
  <c r="E173"/>
  <c r="G174"/>
  <c r="G175"/>
  <c r="E175"/>
  <c r="G177"/>
  <c r="G178"/>
  <c r="G179"/>
  <c r="E179"/>
  <c r="G181"/>
  <c r="G182"/>
  <c r="G183"/>
  <c r="E183"/>
  <c r="G185"/>
  <c r="G186"/>
  <c r="G187"/>
  <c r="E187"/>
  <c r="E189"/>
  <c r="G190"/>
  <c r="G191"/>
  <c r="E191"/>
  <c r="G192"/>
  <c r="E193"/>
  <c r="G195"/>
  <c r="E195"/>
  <c r="G196"/>
  <c r="E197"/>
  <c r="G198"/>
  <c r="G199"/>
  <c r="E199"/>
  <c r="E201"/>
  <c r="E203"/>
  <c r="E205"/>
  <c r="E207"/>
  <c r="E209"/>
  <c r="E210"/>
  <c r="E211"/>
  <c r="E215"/>
  <c r="E218"/>
  <c r="E219"/>
  <c r="E220"/>
  <c r="E222"/>
  <c r="E223"/>
  <c r="E225"/>
  <c r="E227"/>
  <c r="E229"/>
  <c r="E231"/>
  <c r="E233"/>
  <c r="E234"/>
  <c r="E235"/>
  <c r="E237"/>
  <c r="G238"/>
  <c r="G239"/>
  <c r="E239"/>
  <c r="E240"/>
  <c r="G241"/>
  <c r="F241"/>
  <c r="B241"/>
  <c r="F240"/>
  <c r="F239"/>
  <c r="B239"/>
  <c r="F238"/>
  <c r="F237"/>
  <c r="F236"/>
  <c r="G235"/>
  <c r="F235"/>
  <c r="B235"/>
  <c r="F234"/>
  <c r="F233"/>
  <c r="B233"/>
  <c r="F232"/>
  <c r="G231"/>
  <c r="F231"/>
  <c r="B231"/>
  <c r="F230"/>
  <c r="B230"/>
  <c r="G229"/>
  <c r="F229"/>
  <c r="B229"/>
  <c r="F228"/>
  <c r="B228"/>
  <c r="G227"/>
  <c r="F227"/>
  <c r="B227"/>
  <c r="G226"/>
  <c r="F226"/>
  <c r="B226"/>
  <c r="G225"/>
  <c r="F225"/>
  <c r="F224"/>
  <c r="G223"/>
  <c r="F223"/>
  <c r="B223"/>
  <c r="F222"/>
  <c r="F221"/>
  <c r="B221"/>
  <c r="F220"/>
  <c r="G219"/>
  <c r="F219"/>
  <c r="B219"/>
  <c r="F218"/>
  <c r="B218"/>
  <c r="G217"/>
  <c r="F217"/>
  <c r="B217"/>
  <c r="F216"/>
  <c r="B216"/>
  <c r="G215"/>
  <c r="F215"/>
  <c r="B215"/>
  <c r="G214"/>
  <c r="F214"/>
  <c r="B214"/>
  <c r="G213"/>
  <c r="F213"/>
  <c r="F212"/>
  <c r="G211"/>
  <c r="F211"/>
  <c r="B211"/>
  <c r="F210"/>
  <c r="F209"/>
  <c r="B209"/>
  <c r="F208"/>
  <c r="G207"/>
  <c r="F207"/>
  <c r="B207"/>
  <c r="F206"/>
  <c r="B206"/>
  <c r="G205"/>
  <c r="F205"/>
  <c r="B205"/>
  <c r="F204"/>
  <c r="B204"/>
  <c r="G203"/>
  <c r="F203"/>
  <c r="G202"/>
  <c r="F202"/>
  <c r="B202"/>
  <c r="F201"/>
  <c r="B201"/>
  <c r="F200"/>
  <c r="B200"/>
  <c r="F199"/>
  <c r="F198"/>
  <c r="B198"/>
  <c r="F197"/>
  <c r="B197"/>
  <c r="F196"/>
  <c r="B196"/>
  <c r="B18"/>
  <c r="F195"/>
  <c r="B195"/>
  <c r="F145"/>
  <c r="B145"/>
  <c r="F194"/>
  <c r="B194"/>
  <c r="F193"/>
  <c r="B193"/>
  <c r="F192"/>
  <c r="B192"/>
  <c r="F114"/>
  <c r="B114"/>
  <c r="F191"/>
  <c r="B191"/>
  <c r="F190"/>
  <c r="F151"/>
  <c r="B151"/>
  <c r="F189"/>
  <c r="B189"/>
  <c r="F94"/>
  <c r="B94"/>
  <c r="F188"/>
  <c r="B188"/>
  <c r="F160"/>
  <c r="B160"/>
  <c r="F187"/>
  <c r="B187"/>
  <c r="F172"/>
  <c r="B172"/>
  <c r="F186"/>
  <c r="B186"/>
  <c r="F181"/>
  <c r="F185"/>
  <c r="B185"/>
  <c r="F184"/>
  <c r="B184"/>
  <c r="F154"/>
  <c r="B154"/>
  <c r="F183"/>
  <c r="B183"/>
  <c r="F119"/>
  <c r="B119"/>
  <c r="F182"/>
  <c r="B182"/>
  <c r="F37"/>
  <c r="F180"/>
  <c r="B180"/>
  <c r="F149"/>
  <c r="F179"/>
  <c r="B179"/>
  <c r="F175"/>
  <c r="F178"/>
  <c r="F72"/>
  <c r="F177"/>
  <c r="B177"/>
  <c r="F25"/>
  <c r="F176"/>
  <c r="B47"/>
  <c r="F157"/>
  <c r="F174"/>
  <c r="B174"/>
  <c r="F30"/>
  <c r="F173"/>
  <c r="B173"/>
  <c r="F171"/>
  <c r="B171"/>
  <c r="B14"/>
  <c r="F170"/>
  <c r="B170"/>
  <c r="F20"/>
  <c r="B20"/>
  <c r="F169"/>
  <c r="B169"/>
  <c r="F163"/>
  <c r="B163"/>
  <c r="F168"/>
  <c r="B168"/>
  <c r="F108"/>
  <c r="B108"/>
  <c r="F167"/>
  <c r="B167"/>
  <c r="F86"/>
  <c r="B86"/>
  <c r="F166"/>
  <c r="B166"/>
  <c r="F165"/>
  <c r="B165"/>
  <c r="F164"/>
  <c r="B164"/>
  <c r="F97"/>
  <c r="B97"/>
  <c r="F118"/>
  <c r="B118"/>
  <c r="F162"/>
  <c r="B162"/>
  <c r="F161"/>
  <c r="B161"/>
  <c r="F28"/>
  <c r="B28"/>
  <c r="F117"/>
  <c r="B117"/>
  <c r="F159"/>
  <c r="B159"/>
  <c r="F22"/>
  <c r="B22"/>
  <c r="F158"/>
  <c r="B158"/>
  <c r="F61"/>
  <c r="F35"/>
  <c r="F156"/>
  <c r="F71"/>
  <c r="F155"/>
  <c r="F153"/>
  <c r="F134"/>
  <c r="F152"/>
  <c r="B152"/>
  <c r="F93"/>
  <c r="F150"/>
  <c r="F109"/>
  <c r="B109"/>
  <c r="F148"/>
  <c r="B148"/>
  <c r="F142"/>
  <c r="F147"/>
  <c r="B147"/>
  <c r="F146"/>
  <c r="F143"/>
  <c r="F90"/>
  <c r="B90"/>
  <c r="F144"/>
  <c r="F60"/>
  <c r="F141"/>
  <c r="B141"/>
  <c r="F140"/>
  <c r="F113"/>
  <c r="B113"/>
  <c r="F139"/>
  <c r="F57"/>
  <c r="B57"/>
  <c r="F138"/>
  <c r="B138"/>
  <c r="F127"/>
  <c r="B127"/>
  <c r="F137"/>
  <c r="F130"/>
  <c r="B130"/>
  <c r="F136"/>
  <c r="F31"/>
  <c r="F135"/>
  <c r="F26"/>
  <c r="B26"/>
  <c r="F115"/>
  <c r="F133"/>
  <c r="B133"/>
  <c r="F121"/>
  <c r="B121"/>
  <c r="F132"/>
  <c r="F101"/>
  <c r="B101"/>
  <c r="F131"/>
  <c r="F129"/>
  <c r="B129"/>
  <c r="F128"/>
  <c r="B128"/>
  <c r="F111"/>
  <c r="F59"/>
  <c r="F126"/>
  <c r="B126"/>
  <c r="F125"/>
  <c r="B125"/>
  <c r="F23"/>
  <c r="B23"/>
  <c r="F124"/>
  <c r="B124"/>
  <c r="F123"/>
  <c r="B123"/>
  <c r="F122"/>
  <c r="B122"/>
  <c r="F24"/>
  <c r="F102"/>
  <c r="F120"/>
  <c r="F116"/>
  <c r="B116"/>
  <c r="F107"/>
  <c r="B19"/>
  <c r="F112"/>
  <c r="B112"/>
  <c r="B21"/>
  <c r="F110"/>
  <c r="B110"/>
  <c r="F103"/>
  <c r="B103"/>
  <c r="F64"/>
  <c r="F106"/>
  <c r="B52"/>
  <c r="F105"/>
  <c r="B105"/>
  <c r="F104"/>
  <c r="B104"/>
  <c r="F43"/>
  <c r="F100"/>
  <c r="B66"/>
  <c r="F99"/>
  <c r="B99"/>
  <c r="F96"/>
  <c r="B96"/>
  <c r="F98"/>
  <c r="B98"/>
  <c r="F9"/>
  <c r="F63"/>
  <c r="F95"/>
  <c r="B95"/>
  <c r="B67"/>
  <c r="F92"/>
  <c r="B92"/>
  <c r="F91"/>
  <c r="B91"/>
  <c r="F89"/>
  <c r="B89"/>
  <c r="F88"/>
  <c r="B88"/>
  <c r="F87"/>
  <c r="B87"/>
  <c r="F73"/>
  <c r="B73"/>
  <c r="F85"/>
  <c r="B85"/>
  <c r="F84"/>
  <c r="F83"/>
  <c r="B83"/>
  <c r="F42"/>
  <c r="B42"/>
  <c r="F82"/>
  <c r="B82"/>
  <c r="F69"/>
  <c r="B69"/>
  <c r="F81"/>
  <c r="B81"/>
  <c r="F80"/>
  <c r="F79"/>
  <c r="B79"/>
  <c r="F40"/>
  <c r="B40"/>
  <c r="F78"/>
  <c r="F77"/>
  <c r="B77"/>
  <c r="F76"/>
  <c r="B76"/>
  <c r="F75"/>
  <c r="B75"/>
  <c r="F74"/>
  <c r="B74"/>
  <c r="F70"/>
  <c r="B70"/>
  <c r="F58"/>
  <c r="B58"/>
  <c r="F68"/>
  <c r="B68"/>
  <c r="F39"/>
  <c r="F65"/>
  <c r="B65"/>
  <c r="F62"/>
  <c r="B56"/>
  <c r="F36"/>
  <c r="F41"/>
  <c r="F54"/>
  <c r="F53"/>
  <c r="B53"/>
  <c r="F50"/>
  <c r="B50"/>
  <c r="B49"/>
  <c r="F16"/>
  <c r="B16"/>
  <c r="F29"/>
  <c r="F34"/>
  <c r="B34"/>
  <c r="F38"/>
  <c r="B38"/>
  <c r="F33"/>
  <c r="F32"/>
  <c r="F27"/>
  <c r="F8"/>
  <c r="B8"/>
  <c r="B17"/>
  <c r="C14" i="4"/>
  <c r="G14" s="1"/>
  <c r="C2"/>
  <c r="G2" s="1"/>
  <c r="E2" s="1"/>
  <c r="C3"/>
  <c r="G3" s="1"/>
  <c r="C4"/>
  <c r="G4" s="1"/>
  <c r="E4" s="1"/>
  <c r="C5"/>
  <c r="G5" s="1"/>
  <c r="C6"/>
  <c r="G6" s="1"/>
  <c r="E6" s="1"/>
  <c r="C7"/>
  <c r="G7" s="1"/>
  <c r="C8"/>
  <c r="G8" s="1"/>
  <c r="E8" s="1"/>
  <c r="C9"/>
  <c r="G9" s="1"/>
  <c r="C10"/>
  <c r="G10" s="1"/>
  <c r="E10" s="1"/>
  <c r="C11"/>
  <c r="G11" s="1"/>
  <c r="C12"/>
  <c r="G12" s="1"/>
  <c r="E12" s="1"/>
  <c r="C13"/>
  <c r="G13" s="1"/>
  <c r="C15"/>
  <c r="G15" s="1"/>
  <c r="E15" s="1"/>
  <c r="C16"/>
  <c r="G16" s="1"/>
  <c r="C17"/>
  <c r="G17" s="1"/>
  <c r="E17" s="1"/>
  <c r="C18"/>
  <c r="G18" s="1"/>
  <c r="E18"/>
  <c r="C19"/>
  <c r="G19"/>
  <c r="E19" s="1"/>
  <c r="C20"/>
  <c r="G20" s="1"/>
  <c r="E20"/>
  <c r="C21"/>
  <c r="G21"/>
  <c r="E21" s="1"/>
  <c r="C22"/>
  <c r="G22" s="1"/>
  <c r="E22"/>
  <c r="C23"/>
  <c r="G23"/>
  <c r="E23" s="1"/>
  <c r="C24"/>
  <c r="G24" s="1"/>
  <c r="E24"/>
  <c r="C25"/>
  <c r="G25" s="1"/>
  <c r="E25" s="1"/>
  <c r="C26"/>
  <c r="G26" s="1"/>
  <c r="C27"/>
  <c r="G27" s="1"/>
  <c r="E27" s="1"/>
  <c r="C28"/>
  <c r="G28" s="1"/>
  <c r="C29"/>
  <c r="G29" s="1"/>
  <c r="E29" s="1"/>
  <c r="C30"/>
  <c r="G30" s="1"/>
  <c r="C31"/>
  <c r="G31" s="1"/>
  <c r="E31" s="1"/>
  <c r="C32"/>
  <c r="G32" s="1"/>
  <c r="C33"/>
  <c r="G33" s="1"/>
  <c r="E33" s="1"/>
  <c r="C34"/>
  <c r="G34" s="1"/>
  <c r="C35"/>
  <c r="G35" s="1"/>
  <c r="E35" s="1"/>
  <c r="C36"/>
  <c r="G36" s="1"/>
  <c r="C37"/>
  <c r="G37" s="1"/>
  <c r="E37" s="1"/>
  <c r="C38"/>
  <c r="C39"/>
  <c r="G39"/>
  <c r="E39" s="1"/>
  <c r="C40"/>
  <c r="C41"/>
  <c r="G41" s="1"/>
  <c r="E41" s="1"/>
  <c r="C42"/>
  <c r="C43"/>
  <c r="G43"/>
  <c r="E43" s="1"/>
  <c r="C44"/>
  <c r="C45"/>
  <c r="G45" s="1"/>
  <c r="E45" s="1"/>
  <c r="C46"/>
  <c r="C47"/>
  <c r="G47"/>
  <c r="E47" s="1"/>
  <c r="C48"/>
  <c r="C49"/>
  <c r="G49" s="1"/>
  <c r="E49" s="1"/>
  <c r="C50"/>
  <c r="C51"/>
  <c r="G51"/>
  <c r="E51" s="1"/>
  <c r="C52"/>
  <c r="C53"/>
  <c r="G53" s="1"/>
  <c r="E53" s="1"/>
  <c r="C54"/>
  <c r="C55"/>
  <c r="G55"/>
  <c r="E55" s="1"/>
  <c r="C56"/>
  <c r="C57"/>
  <c r="G57" s="1"/>
  <c r="E57" s="1"/>
  <c r="C58"/>
  <c r="C59"/>
  <c r="G59"/>
  <c r="E59" s="1"/>
  <c r="C60"/>
  <c r="C61"/>
  <c r="G61" s="1"/>
  <c r="E61" s="1"/>
  <c r="C62"/>
  <c r="C63"/>
  <c r="G63"/>
  <c r="E63" s="1"/>
  <c r="C64"/>
  <c r="C65"/>
  <c r="G65" s="1"/>
  <c r="E65" s="1"/>
  <c r="C66"/>
  <c r="C67"/>
  <c r="G67"/>
  <c r="E67" s="1"/>
  <c r="C68"/>
  <c r="C69"/>
  <c r="G69" s="1"/>
  <c r="E69" s="1"/>
  <c r="C70"/>
  <c r="C71"/>
  <c r="G71"/>
  <c r="E71" s="1"/>
  <c r="C72"/>
  <c r="C73"/>
  <c r="G73" s="1"/>
  <c r="E73" s="1"/>
  <c r="C74"/>
  <c r="C75"/>
  <c r="G75"/>
  <c r="C76"/>
  <c r="G76"/>
  <c r="C77"/>
  <c r="G77"/>
  <c r="C78"/>
  <c r="C79"/>
  <c r="G79" s="1"/>
  <c r="C80"/>
  <c r="G80" s="1"/>
  <c r="C81"/>
  <c r="C82"/>
  <c r="C83"/>
  <c r="G83" s="1"/>
  <c r="C84"/>
  <c r="G84" s="1"/>
  <c r="C85"/>
  <c r="G85" s="1"/>
  <c r="E85"/>
  <c r="C86"/>
  <c r="C87"/>
  <c r="G87" s="1"/>
  <c r="C88"/>
  <c r="G88" s="1"/>
  <c r="C89"/>
  <c r="E89" s="1"/>
  <c r="G89"/>
  <c r="C90"/>
  <c r="C91"/>
  <c r="G91" s="1"/>
  <c r="C92"/>
  <c r="G92" s="1"/>
  <c r="C93"/>
  <c r="G93" s="1"/>
  <c r="C94"/>
  <c r="C95"/>
  <c r="G95" s="1"/>
  <c r="C96"/>
  <c r="G96" s="1"/>
  <c r="C97"/>
  <c r="C98"/>
  <c r="C99"/>
  <c r="G99" s="1"/>
  <c r="C100"/>
  <c r="G100" s="1"/>
  <c r="C101"/>
  <c r="G101" s="1"/>
  <c r="E101"/>
  <c r="C102"/>
  <c r="C103"/>
  <c r="G103" s="1"/>
  <c r="C104"/>
  <c r="G104" s="1"/>
  <c r="C105"/>
  <c r="G105" s="1"/>
  <c r="C106"/>
  <c r="C107"/>
  <c r="G107" s="1"/>
  <c r="C108"/>
  <c r="G108" s="1"/>
  <c r="C109"/>
  <c r="G109" s="1"/>
  <c r="E109"/>
  <c r="C110"/>
  <c r="C111"/>
  <c r="G111" s="1"/>
  <c r="C112"/>
  <c r="G112" s="1"/>
  <c r="C113"/>
  <c r="G113" s="1"/>
  <c r="E113"/>
  <c r="C114"/>
  <c r="C115"/>
  <c r="G115" s="1"/>
  <c r="C116"/>
  <c r="G116" s="1"/>
  <c r="C117"/>
  <c r="G117" s="1"/>
  <c r="C118"/>
  <c r="C119"/>
  <c r="G119" s="1"/>
  <c r="C120"/>
  <c r="G120" s="1"/>
  <c r="C121"/>
  <c r="G121" s="1"/>
  <c r="E121"/>
  <c r="C122"/>
  <c r="C123"/>
  <c r="G123" s="1"/>
  <c r="C124"/>
  <c r="G124" s="1"/>
  <c r="C125"/>
  <c r="C126"/>
  <c r="C127"/>
  <c r="G127" s="1"/>
  <c r="C128"/>
  <c r="G128" s="1"/>
  <c r="C129"/>
  <c r="G129" s="1"/>
  <c r="C130"/>
  <c r="C131"/>
  <c r="G131" s="1"/>
  <c r="C132"/>
  <c r="G132" s="1"/>
  <c r="C133"/>
  <c r="G133" s="1"/>
  <c r="E133"/>
  <c r="C134"/>
  <c r="C135"/>
  <c r="G135" s="1"/>
  <c r="C136"/>
  <c r="G136" s="1"/>
  <c r="C137"/>
  <c r="G137" s="1"/>
  <c r="E137"/>
  <c r="C138"/>
  <c r="C139"/>
  <c r="G139" s="1"/>
  <c r="C140"/>
  <c r="G140" s="1"/>
  <c r="C141"/>
  <c r="G141" s="1"/>
  <c r="C142"/>
  <c r="C143"/>
  <c r="G143" s="1"/>
  <c r="C144"/>
  <c r="G144" s="1"/>
  <c r="C145"/>
  <c r="C146"/>
  <c r="C147"/>
  <c r="G147" s="1"/>
  <c r="C148"/>
  <c r="G148" s="1"/>
  <c r="C149"/>
  <c r="G149" s="1"/>
  <c r="E149"/>
  <c r="C150"/>
  <c r="C151"/>
  <c r="G151" s="1"/>
  <c r="C152"/>
  <c r="G152" s="1"/>
  <c r="C153"/>
  <c r="G153" s="1"/>
  <c r="C154"/>
  <c r="C155"/>
  <c r="G155" s="1"/>
  <c r="C156"/>
  <c r="G156" s="1"/>
  <c r="C157"/>
  <c r="G157" s="1"/>
  <c r="E157"/>
  <c r="C158"/>
  <c r="C159"/>
  <c r="G159" s="1"/>
  <c r="C160"/>
  <c r="G160" s="1"/>
  <c r="C161"/>
  <c r="G161" s="1"/>
  <c r="C162"/>
  <c r="C163"/>
  <c r="G163" s="1"/>
  <c r="C164"/>
  <c r="G164" s="1"/>
  <c r="C165"/>
  <c r="G165" s="1"/>
  <c r="C166"/>
  <c r="C167"/>
  <c r="G167"/>
  <c r="C168"/>
  <c r="G168"/>
  <c r="C169"/>
  <c r="G169"/>
  <c r="E169"/>
  <c r="C170"/>
  <c r="C171"/>
  <c r="G171"/>
  <c r="C172"/>
  <c r="G172"/>
  <c r="C173"/>
  <c r="G173"/>
  <c r="C174"/>
  <c r="C175"/>
  <c r="G175" s="1"/>
  <c r="C176"/>
  <c r="G176" s="1"/>
  <c r="C177"/>
  <c r="G177" s="1"/>
  <c r="C178"/>
  <c r="C179"/>
  <c r="G179" s="1"/>
  <c r="C180"/>
  <c r="G180" s="1"/>
  <c r="C181"/>
  <c r="G181" s="1"/>
  <c r="E181"/>
  <c r="C182"/>
  <c r="C183"/>
  <c r="G183" s="1"/>
  <c r="C184"/>
  <c r="G184" s="1"/>
  <c r="C185"/>
  <c r="G185" s="1"/>
  <c r="C186"/>
  <c r="C187"/>
  <c r="G187" s="1"/>
  <c r="C188"/>
  <c r="G188" s="1"/>
  <c r="C189"/>
  <c r="G189" s="1"/>
  <c r="C190"/>
  <c r="C191"/>
  <c r="G191"/>
  <c r="C192"/>
  <c r="G192"/>
  <c r="C193"/>
  <c r="G193"/>
  <c r="E193"/>
  <c r="C194"/>
  <c r="C195"/>
  <c r="G195"/>
  <c r="C196"/>
  <c r="G196"/>
  <c r="C197"/>
  <c r="G197"/>
  <c r="C198"/>
  <c r="C199"/>
  <c r="E199" s="1"/>
  <c r="C200"/>
  <c r="G200" s="1"/>
  <c r="C201"/>
  <c r="E201" s="1"/>
  <c r="C202"/>
  <c r="C203"/>
  <c r="E203" s="1"/>
  <c r="C204"/>
  <c r="E204" s="1"/>
  <c r="C205"/>
  <c r="E205" s="1"/>
  <c r="C206"/>
  <c r="C207"/>
  <c r="E207" s="1"/>
  <c r="C208"/>
  <c r="E208" s="1"/>
  <c r="C209"/>
  <c r="E209" s="1"/>
  <c r="C210"/>
  <c r="E210" s="1"/>
  <c r="C211"/>
  <c r="E211" s="1"/>
  <c r="C212"/>
  <c r="E212" s="1"/>
  <c r="G212"/>
  <c r="C213"/>
  <c r="E213" s="1"/>
  <c r="C214"/>
  <c r="C215"/>
  <c r="E215" s="1"/>
  <c r="C216"/>
  <c r="C217"/>
  <c r="E217" s="1"/>
  <c r="C218"/>
  <c r="C219"/>
  <c r="E219"/>
  <c r="C220"/>
  <c r="E220"/>
  <c r="C221"/>
  <c r="E221"/>
  <c r="C222"/>
  <c r="E222"/>
  <c r="C223"/>
  <c r="E223"/>
  <c r="C224"/>
  <c r="E224"/>
  <c r="G224"/>
  <c r="C225"/>
  <c r="E225" s="1"/>
  <c r="C226"/>
  <c r="C227"/>
  <c r="E227" s="1"/>
  <c r="C228"/>
  <c r="C229"/>
  <c r="E229" s="1"/>
  <c r="C230"/>
  <c r="C231"/>
  <c r="E231" s="1"/>
  <c r="C232"/>
  <c r="E232" s="1"/>
  <c r="C233"/>
  <c r="E233" s="1"/>
  <c r="C234"/>
  <c r="E234" s="1"/>
  <c r="C235"/>
  <c r="E235" s="1"/>
  <c r="C236"/>
  <c r="G236" s="1"/>
  <c r="E236"/>
  <c r="C237"/>
  <c r="G237" s="1"/>
  <c r="C238"/>
  <c r="E238" s="1"/>
  <c r="C239"/>
  <c r="E239" s="1"/>
  <c r="C240"/>
  <c r="E240" s="1"/>
  <c r="C241"/>
  <c r="G241" s="1"/>
  <c r="G199"/>
  <c r="G204"/>
  <c r="G207"/>
  <c r="G209"/>
  <c r="G211"/>
  <c r="G219"/>
  <c r="G220"/>
  <c r="G221"/>
  <c r="G222"/>
  <c r="G223"/>
  <c r="G231"/>
  <c r="G233"/>
  <c r="G235"/>
  <c r="C237" i="5"/>
  <c r="C238"/>
  <c r="C239"/>
  <c r="C240"/>
  <c r="C241"/>
  <c r="C236"/>
  <c r="C231"/>
  <c r="C232"/>
  <c r="E232" s="1"/>
  <c r="C233"/>
  <c r="C234"/>
  <c r="E234" s="1"/>
  <c r="C235"/>
  <c r="E235" s="1"/>
  <c r="C230"/>
  <c r="C225"/>
  <c r="C226"/>
  <c r="C227"/>
  <c r="C228"/>
  <c r="C229"/>
  <c r="C224"/>
  <c r="C219"/>
  <c r="C220"/>
  <c r="C221"/>
  <c r="C222"/>
  <c r="E222" s="1"/>
  <c r="C223"/>
  <c r="E223" s="1"/>
  <c r="C218"/>
  <c r="C213"/>
  <c r="C214"/>
  <c r="C215"/>
  <c r="C216"/>
  <c r="C217"/>
  <c r="C212"/>
  <c r="C207"/>
  <c r="E207" s="1"/>
  <c r="C208"/>
  <c r="C209"/>
  <c r="E209" s="1"/>
  <c r="C210"/>
  <c r="E210"/>
  <c r="C211"/>
  <c r="C206"/>
  <c r="C201"/>
  <c r="C202"/>
  <c r="C203"/>
  <c r="C204"/>
  <c r="C205"/>
  <c r="C200"/>
  <c r="C195"/>
  <c r="C196"/>
  <c r="E196" s="1"/>
  <c r="C197"/>
  <c r="C198"/>
  <c r="E198" s="1"/>
  <c r="C199"/>
  <c r="C194"/>
  <c r="C189"/>
  <c r="C190"/>
  <c r="C191"/>
  <c r="C192"/>
  <c r="C193"/>
  <c r="C188"/>
  <c r="C183"/>
  <c r="C184"/>
  <c r="E184" s="1"/>
  <c r="C185"/>
  <c r="C186"/>
  <c r="E186" s="1"/>
  <c r="C187"/>
  <c r="E187" s="1"/>
  <c r="C182"/>
  <c r="C177"/>
  <c r="C178"/>
  <c r="C179"/>
  <c r="C180"/>
  <c r="C181"/>
  <c r="C176"/>
  <c r="C171"/>
  <c r="C172"/>
  <c r="C173"/>
  <c r="C174"/>
  <c r="E174" s="1"/>
  <c r="C175"/>
  <c r="E175" s="1"/>
  <c r="C170"/>
  <c r="C165"/>
  <c r="C166"/>
  <c r="C167"/>
  <c r="C168"/>
  <c r="C169"/>
  <c r="C164"/>
  <c r="C159"/>
  <c r="E159" s="1"/>
  <c r="C160"/>
  <c r="C161"/>
  <c r="E161" s="1"/>
  <c r="C162"/>
  <c r="E162"/>
  <c r="C163"/>
  <c r="C158"/>
  <c r="C153"/>
  <c r="C154"/>
  <c r="C155"/>
  <c r="C156"/>
  <c r="C157"/>
  <c r="C152"/>
  <c r="C147"/>
  <c r="C148"/>
  <c r="E148" s="1"/>
  <c r="C149"/>
  <c r="C150"/>
  <c r="E150" s="1"/>
  <c r="C151"/>
  <c r="C146"/>
  <c r="C141"/>
  <c r="C142"/>
  <c r="C143"/>
  <c r="C144"/>
  <c r="C145"/>
  <c r="C140"/>
  <c r="C135"/>
  <c r="C136"/>
  <c r="E136" s="1"/>
  <c r="C137"/>
  <c r="C138"/>
  <c r="E138" s="1"/>
  <c r="C139"/>
  <c r="E139" s="1"/>
  <c r="C134"/>
  <c r="C129"/>
  <c r="C130"/>
  <c r="C131"/>
  <c r="C132"/>
  <c r="C133"/>
  <c r="C128"/>
  <c r="C123"/>
  <c r="C124"/>
  <c r="C125"/>
  <c r="C126"/>
  <c r="E126" s="1"/>
  <c r="C127"/>
  <c r="E127" s="1"/>
  <c r="C122"/>
  <c r="C117"/>
  <c r="C118"/>
  <c r="C119"/>
  <c r="C120"/>
  <c r="C121"/>
  <c r="C116"/>
  <c r="C111"/>
  <c r="E111" s="1"/>
  <c r="C112"/>
  <c r="C113"/>
  <c r="E113" s="1"/>
  <c r="C114"/>
  <c r="E114"/>
  <c r="C115"/>
  <c r="C110"/>
  <c r="C105"/>
  <c r="C106"/>
  <c r="C107"/>
  <c r="C108"/>
  <c r="C109"/>
  <c r="C104"/>
  <c r="C99"/>
  <c r="C100"/>
  <c r="E100" s="1"/>
  <c r="C101"/>
  <c r="C102"/>
  <c r="E102" s="1"/>
  <c r="C103"/>
  <c r="C98"/>
  <c r="C93"/>
  <c r="C94"/>
  <c r="C95"/>
  <c r="C96"/>
  <c r="C97"/>
  <c r="C92"/>
  <c r="C87"/>
  <c r="C88"/>
  <c r="E88" s="1"/>
  <c r="C89"/>
  <c r="C90"/>
  <c r="E90" s="1"/>
  <c r="C91"/>
  <c r="E91" s="1"/>
  <c r="C86"/>
  <c r="C81"/>
  <c r="C82"/>
  <c r="C83"/>
  <c r="C84"/>
  <c r="C85"/>
  <c r="C80"/>
  <c r="C75"/>
  <c r="C76"/>
  <c r="C77"/>
  <c r="C78"/>
  <c r="E78" s="1"/>
  <c r="C79"/>
  <c r="E79" s="1"/>
  <c r="C74"/>
  <c r="C69"/>
  <c r="C70"/>
  <c r="C71"/>
  <c r="C72"/>
  <c r="C73"/>
  <c r="C68"/>
  <c r="C63"/>
  <c r="E63" s="1"/>
  <c r="C64"/>
  <c r="C65"/>
  <c r="E65" s="1"/>
  <c r="C66"/>
  <c r="E66"/>
  <c r="C67"/>
  <c r="C62"/>
  <c r="C57"/>
  <c r="C58"/>
  <c r="E58" s="1"/>
  <c r="C59"/>
  <c r="C60"/>
  <c r="C61"/>
  <c r="C56"/>
  <c r="E56" s="1"/>
  <c r="C51"/>
  <c r="E51" s="1"/>
  <c r="C52"/>
  <c r="C53"/>
  <c r="C54"/>
  <c r="E54" s="1"/>
  <c r="C55"/>
  <c r="C50"/>
  <c r="E50" s="1"/>
  <c r="C45"/>
  <c r="E45" s="1"/>
  <c r="C46"/>
  <c r="E46" s="1"/>
  <c r="C47"/>
  <c r="E47" s="1"/>
  <c r="C48"/>
  <c r="E48" s="1"/>
  <c r="C49"/>
  <c r="C44"/>
  <c r="E44" s="1"/>
  <c r="C39"/>
  <c r="E39" s="1"/>
  <c r="C40"/>
  <c r="E40" s="1"/>
  <c r="C41"/>
  <c r="C42"/>
  <c r="E42" s="1"/>
  <c r="C43"/>
  <c r="C38"/>
  <c r="C33"/>
  <c r="E33" s="1"/>
  <c r="C34"/>
  <c r="E34" s="1"/>
  <c r="C35"/>
  <c r="E35" s="1"/>
  <c r="C36"/>
  <c r="E36" s="1"/>
  <c r="C37"/>
  <c r="E37" s="1"/>
  <c r="C32"/>
  <c r="C27"/>
  <c r="E27" s="1"/>
  <c r="C28"/>
  <c r="E28" s="1"/>
  <c r="C29"/>
  <c r="E29" s="1"/>
  <c r="C30"/>
  <c r="E30" s="1"/>
  <c r="C31"/>
  <c r="E31" s="1"/>
  <c r="C26"/>
  <c r="C21"/>
  <c r="E21" s="1"/>
  <c r="C22"/>
  <c r="E22" s="1"/>
  <c r="C23"/>
  <c r="E23" s="1"/>
  <c r="C24"/>
  <c r="E24" s="1"/>
  <c r="C25"/>
  <c r="E25" s="1"/>
  <c r="C20"/>
  <c r="C15"/>
  <c r="E15" s="1"/>
  <c r="C16"/>
  <c r="E16" s="1"/>
  <c r="C17"/>
  <c r="E17" s="1"/>
  <c r="C18"/>
  <c r="E18" s="1"/>
  <c r="C19"/>
  <c r="E19" s="1"/>
  <c r="C14"/>
  <c r="E14" s="1"/>
  <c r="E6" i="6"/>
  <c r="E9"/>
  <c r="E10"/>
  <c r="E11"/>
  <c r="E12"/>
  <c r="E13"/>
  <c r="E14"/>
  <c r="E17"/>
  <c r="E18"/>
  <c r="E19"/>
  <c r="E21"/>
  <c r="E22"/>
  <c r="E23"/>
  <c r="E24"/>
  <c r="E25"/>
  <c r="E29"/>
  <c r="E31"/>
  <c r="E32"/>
  <c r="E34"/>
  <c r="E36"/>
  <c r="E38"/>
  <c r="E40"/>
  <c r="E42"/>
  <c r="E44"/>
  <c r="E46"/>
  <c r="E48"/>
  <c r="E50"/>
  <c r="E52"/>
  <c r="E54"/>
  <c r="E57"/>
  <c r="E60"/>
  <c r="E61"/>
  <c r="E62"/>
  <c r="E63"/>
  <c r="E64"/>
  <c r="E65"/>
  <c r="E66"/>
  <c r="E67"/>
  <c r="E69"/>
  <c r="E70"/>
  <c r="E71"/>
  <c r="E72"/>
  <c r="E73"/>
  <c r="E74"/>
  <c r="E75"/>
  <c r="E76"/>
  <c r="E77"/>
  <c r="E78"/>
  <c r="E79"/>
  <c r="E81"/>
  <c r="E83"/>
  <c r="E85"/>
  <c r="E87"/>
  <c r="E89"/>
  <c r="E91"/>
  <c r="E94"/>
  <c r="E96"/>
  <c r="E98"/>
  <c r="E100"/>
  <c r="E102"/>
  <c r="E105"/>
  <c r="E106"/>
  <c r="E107"/>
  <c r="E108"/>
  <c r="E109"/>
  <c r="E110"/>
  <c r="E111"/>
  <c r="E112"/>
  <c r="E113"/>
  <c r="E114"/>
  <c r="E115"/>
  <c r="E117"/>
  <c r="E118"/>
  <c r="E119"/>
  <c r="E120"/>
  <c r="E121"/>
  <c r="E122"/>
  <c r="E123"/>
  <c r="E124"/>
  <c r="E125"/>
  <c r="E126"/>
  <c r="E127"/>
  <c r="E129"/>
  <c r="E131"/>
  <c r="E133"/>
  <c r="E135"/>
  <c r="E137"/>
  <c r="E139"/>
  <c r="E142"/>
  <c r="E144"/>
  <c r="E146"/>
  <c r="E148"/>
  <c r="E150"/>
  <c r="E153"/>
  <c r="E154"/>
  <c r="E155"/>
  <c r="E156"/>
  <c r="E157"/>
  <c r="E158"/>
  <c r="E159"/>
  <c r="E160"/>
  <c r="E161"/>
  <c r="E162"/>
  <c r="E163"/>
  <c r="E165"/>
  <c r="E166"/>
  <c r="E167"/>
  <c r="E168"/>
  <c r="E169"/>
  <c r="E170"/>
  <c r="E171"/>
  <c r="E172"/>
  <c r="E173"/>
  <c r="E174"/>
  <c r="E175"/>
  <c r="E177"/>
  <c r="E179"/>
  <c r="E181"/>
  <c r="E183"/>
  <c r="E185"/>
  <c r="E187"/>
  <c r="E190"/>
  <c r="E192"/>
  <c r="E194"/>
  <c r="E196"/>
  <c r="E198"/>
  <c r="E201"/>
  <c r="E202"/>
  <c r="E203"/>
  <c r="E204"/>
  <c r="E205"/>
  <c r="E206"/>
  <c r="E207"/>
  <c r="E208"/>
  <c r="E209"/>
  <c r="E210"/>
  <c r="E211"/>
  <c r="E213"/>
  <c r="E214"/>
  <c r="E215"/>
  <c r="E216"/>
  <c r="E217"/>
  <c r="E218"/>
  <c r="E219"/>
  <c r="E220"/>
  <c r="E221"/>
  <c r="E222"/>
  <c r="E223"/>
  <c r="E225"/>
  <c r="E227"/>
  <c r="E229"/>
  <c r="E231"/>
  <c r="E233"/>
  <c r="E235"/>
  <c r="E238"/>
  <c r="E240"/>
  <c r="B4"/>
  <c r="B2"/>
  <c r="B8"/>
  <c r="F241"/>
  <c r="B241"/>
  <c r="F9"/>
  <c r="B9"/>
  <c r="F240"/>
  <c r="B240"/>
  <c r="B6"/>
  <c r="F239"/>
  <c r="B239"/>
  <c r="B7"/>
  <c r="F238"/>
  <c r="B238"/>
  <c r="F12"/>
  <c r="F237"/>
  <c r="F236"/>
  <c r="B236"/>
  <c r="F14"/>
  <c r="B14"/>
  <c r="F235"/>
  <c r="B235"/>
  <c r="F15"/>
  <c r="B15"/>
  <c r="F234"/>
  <c r="B234"/>
  <c r="F16"/>
  <c r="B16"/>
  <c r="F233"/>
  <c r="B233"/>
  <c r="F17"/>
  <c r="B17"/>
  <c r="F232"/>
  <c r="B232"/>
  <c r="F18"/>
  <c r="B18"/>
  <c r="F231"/>
  <c r="B231"/>
  <c r="F19"/>
  <c r="B19"/>
  <c r="F230"/>
  <c r="B230"/>
  <c r="F28"/>
  <c r="F229"/>
  <c r="B229"/>
  <c r="F21"/>
  <c r="F74"/>
  <c r="B21"/>
  <c r="B74"/>
  <c r="F228"/>
  <c r="B228"/>
  <c r="F22"/>
  <c r="F75"/>
  <c r="B22"/>
  <c r="B75"/>
  <c r="F227"/>
  <c r="B227"/>
  <c r="F23"/>
  <c r="F76"/>
  <c r="B23"/>
  <c r="B76"/>
  <c r="F226"/>
  <c r="B226"/>
  <c r="F24"/>
  <c r="F77"/>
  <c r="B77"/>
  <c r="F225"/>
  <c r="B225"/>
  <c r="F25"/>
  <c r="F78"/>
  <c r="B25"/>
  <c r="F224"/>
  <c r="B224"/>
  <c r="F27"/>
  <c r="F79"/>
  <c r="B20"/>
  <c r="B79"/>
  <c r="F223"/>
  <c r="B223"/>
  <c r="F151"/>
  <c r="B151"/>
  <c r="F222"/>
  <c r="B222"/>
  <c r="F29"/>
  <c r="F197"/>
  <c r="B29"/>
  <c r="B197"/>
  <c r="F221"/>
  <c r="B221"/>
  <c r="F30"/>
  <c r="F199"/>
  <c r="B30"/>
  <c r="B199"/>
  <c r="F220"/>
  <c r="B220"/>
  <c r="F31"/>
  <c r="F200"/>
  <c r="B31"/>
  <c r="B200"/>
  <c r="F219"/>
  <c r="B219"/>
  <c r="F33"/>
  <c r="F201"/>
  <c r="B33"/>
  <c r="B201"/>
  <c r="F218"/>
  <c r="B218"/>
  <c r="F34"/>
  <c r="F26"/>
  <c r="F202"/>
  <c r="B26"/>
  <c r="B202"/>
  <c r="F217"/>
  <c r="B217"/>
  <c r="F35"/>
  <c r="F203"/>
  <c r="B35"/>
  <c r="B203"/>
  <c r="F216"/>
  <c r="B216"/>
  <c r="F36"/>
  <c r="F204"/>
  <c r="B36"/>
  <c r="B204"/>
  <c r="F215"/>
  <c r="B215"/>
  <c r="F37"/>
  <c r="F205"/>
  <c r="B205"/>
  <c r="F214"/>
  <c r="B214"/>
  <c r="F39"/>
  <c r="F206"/>
  <c r="B206"/>
  <c r="F213"/>
  <c r="F40"/>
  <c r="F207"/>
  <c r="B40"/>
  <c r="B207"/>
  <c r="F212"/>
  <c r="B212"/>
  <c r="F41"/>
  <c r="F32"/>
  <c r="F208"/>
  <c r="B41"/>
  <c r="B208"/>
  <c r="F211"/>
  <c r="B211"/>
  <c r="F42"/>
  <c r="F209"/>
  <c r="B42"/>
  <c r="B209"/>
  <c r="F210"/>
  <c r="B210"/>
  <c r="F43"/>
  <c r="B43"/>
  <c r="B47"/>
  <c r="F38"/>
  <c r="B38"/>
  <c r="B49"/>
  <c r="F52"/>
  <c r="F53"/>
  <c r="B53"/>
  <c r="F54"/>
  <c r="B54"/>
  <c r="F55"/>
  <c r="B44"/>
  <c r="F57"/>
  <c r="B57"/>
  <c r="F198"/>
  <c r="B198"/>
  <c r="F58"/>
  <c r="F59"/>
  <c r="F196"/>
  <c r="B196"/>
  <c r="F60"/>
  <c r="B60"/>
  <c r="F195"/>
  <c r="B195"/>
  <c r="F61"/>
  <c r="F194"/>
  <c r="B194"/>
  <c r="B63"/>
  <c r="B50"/>
  <c r="F193"/>
  <c r="B193"/>
  <c r="B64"/>
  <c r="F192"/>
  <c r="B192"/>
  <c r="F191"/>
  <c r="B191"/>
  <c r="B66"/>
  <c r="F190"/>
  <c r="B67"/>
  <c r="F189"/>
  <c r="B189"/>
  <c r="F69"/>
  <c r="B69"/>
  <c r="F188"/>
  <c r="B188"/>
  <c r="F70"/>
  <c r="B70"/>
  <c r="B56"/>
  <c r="F187"/>
  <c r="B187"/>
  <c r="F71"/>
  <c r="B71"/>
  <c r="F186"/>
  <c r="B186"/>
  <c r="F72"/>
  <c r="B72"/>
  <c r="F185"/>
  <c r="B185"/>
  <c r="F73"/>
  <c r="B73"/>
  <c r="F184"/>
  <c r="B184"/>
  <c r="F183"/>
  <c r="B183"/>
  <c r="F182"/>
  <c r="B182"/>
  <c r="F62"/>
  <c r="F68"/>
  <c r="F181"/>
  <c r="F180"/>
  <c r="B180"/>
  <c r="F179"/>
  <c r="B179"/>
  <c r="F81"/>
  <c r="B81"/>
  <c r="F178"/>
  <c r="B178"/>
  <c r="F82"/>
  <c r="B82"/>
  <c r="F177"/>
  <c r="B177"/>
  <c r="F83"/>
  <c r="B83"/>
  <c r="F176"/>
  <c r="B176"/>
  <c r="F84"/>
  <c r="F109"/>
  <c r="B68"/>
  <c r="B109"/>
  <c r="F175"/>
  <c r="B175"/>
  <c r="F85"/>
  <c r="B85"/>
  <c r="F174"/>
  <c r="B174"/>
  <c r="F87"/>
  <c r="F163"/>
  <c r="B87"/>
  <c r="B163"/>
  <c r="F173"/>
  <c r="B173"/>
  <c r="F88"/>
  <c r="F132"/>
  <c r="B88"/>
  <c r="B132"/>
  <c r="F172"/>
  <c r="B172"/>
  <c r="F89"/>
  <c r="B89"/>
  <c r="F171"/>
  <c r="B171"/>
  <c r="F90"/>
  <c r="F159"/>
  <c r="B90"/>
  <c r="B159"/>
  <c r="F170"/>
  <c r="B170"/>
  <c r="F91"/>
  <c r="F149"/>
  <c r="B91"/>
  <c r="B149"/>
  <c r="F169"/>
  <c r="B169"/>
  <c r="F93"/>
  <c r="B93"/>
  <c r="F168"/>
  <c r="B168"/>
  <c r="F94"/>
  <c r="B94"/>
  <c r="F167"/>
  <c r="B167"/>
  <c r="F95"/>
  <c r="B95"/>
  <c r="F166"/>
  <c r="B166"/>
  <c r="F96"/>
  <c r="B96"/>
  <c r="F165"/>
  <c r="F97"/>
  <c r="B97"/>
  <c r="F164"/>
  <c r="B164"/>
  <c r="F99"/>
  <c r="F80"/>
  <c r="F103"/>
  <c r="B99"/>
  <c r="B103"/>
  <c r="F100"/>
  <c r="F157"/>
  <c r="B100"/>
  <c r="F162"/>
  <c r="B162"/>
  <c r="F101"/>
  <c r="B101"/>
  <c r="F161"/>
  <c r="B161"/>
  <c r="F102"/>
  <c r="B102"/>
  <c r="F160"/>
  <c r="B160"/>
  <c r="F105"/>
  <c r="B105"/>
  <c r="F158"/>
  <c r="B158"/>
  <c r="F106"/>
  <c r="F86"/>
  <c r="B106"/>
  <c r="B86"/>
  <c r="F107"/>
  <c r="B107"/>
  <c r="F156"/>
  <c r="B156"/>
  <c r="F108"/>
  <c r="F121"/>
  <c r="B108"/>
  <c r="B121"/>
  <c r="F155"/>
  <c r="B155"/>
  <c r="F154"/>
  <c r="B154"/>
  <c r="F111"/>
  <c r="B111"/>
  <c r="F153"/>
  <c r="B153"/>
  <c r="F112"/>
  <c r="B112"/>
  <c r="F152"/>
  <c r="B152"/>
  <c r="F113"/>
  <c r="F92"/>
  <c r="B113"/>
  <c r="B92"/>
  <c r="F114"/>
  <c r="B114"/>
  <c r="F150"/>
  <c r="F115"/>
  <c r="B115"/>
  <c r="F117"/>
  <c r="F133"/>
  <c r="B117"/>
  <c r="B133"/>
  <c r="F148"/>
  <c r="B148"/>
  <c r="F118"/>
  <c r="B118"/>
  <c r="F147"/>
  <c r="B147"/>
  <c r="F119"/>
  <c r="B119"/>
  <c r="F146"/>
  <c r="B146"/>
  <c r="F120"/>
  <c r="F98"/>
  <c r="B120"/>
  <c r="B98"/>
  <c r="F145"/>
  <c r="B145"/>
  <c r="F144"/>
  <c r="B144"/>
  <c r="F123"/>
  <c r="B123"/>
  <c r="F143"/>
  <c r="B143"/>
  <c r="F124"/>
  <c r="B124"/>
  <c r="F142"/>
  <c r="F125"/>
  <c r="B125"/>
  <c r="F141"/>
  <c r="B141"/>
  <c r="F126"/>
  <c r="B126"/>
  <c r="F140"/>
  <c r="B140"/>
  <c r="F127"/>
  <c r="F104"/>
  <c r="B127"/>
  <c r="B104"/>
  <c r="F139"/>
  <c r="B139"/>
  <c r="F129"/>
  <c r="B129"/>
  <c r="F138"/>
  <c r="B138"/>
  <c r="F130"/>
  <c r="B130"/>
  <c r="F137"/>
  <c r="B137"/>
  <c r="F131"/>
  <c r="B131"/>
  <c r="F136"/>
  <c r="B136"/>
  <c r="F135"/>
  <c r="B135"/>
  <c r="F134"/>
  <c r="B134"/>
  <c r="F110"/>
  <c r="B110"/>
  <c r="F128"/>
  <c r="B128"/>
  <c r="F116"/>
  <c r="B116"/>
  <c r="F122"/>
  <c r="B122"/>
  <c r="E2" i="7"/>
  <c r="E3"/>
  <c r="E4"/>
  <c r="E5"/>
  <c r="E6"/>
  <c r="E7"/>
  <c r="E8"/>
  <c r="E9"/>
  <c r="E10"/>
  <c r="E11"/>
  <c r="E13"/>
  <c r="E15"/>
  <c r="E17"/>
  <c r="E19"/>
  <c r="E21"/>
  <c r="E25"/>
  <c r="E27"/>
  <c r="E29"/>
  <c r="E31"/>
  <c r="E34"/>
  <c r="E36"/>
  <c r="E38"/>
  <c r="E40"/>
  <c r="E42"/>
  <c r="E45"/>
  <c r="E46"/>
  <c r="E47"/>
  <c r="E48"/>
  <c r="E49"/>
  <c r="E50"/>
  <c r="E51"/>
  <c r="E52"/>
  <c r="E53"/>
  <c r="E54"/>
  <c r="E55"/>
  <c r="E57"/>
  <c r="E58"/>
  <c r="E59"/>
  <c r="E60"/>
  <c r="E61"/>
  <c r="E62"/>
  <c r="E63"/>
  <c r="E64"/>
  <c r="E65"/>
  <c r="E66"/>
  <c r="E67"/>
  <c r="E69"/>
  <c r="E71"/>
  <c r="E73"/>
  <c r="E75"/>
  <c r="E77"/>
  <c r="E79"/>
  <c r="E82"/>
  <c r="E84"/>
  <c r="E86"/>
  <c r="E88"/>
  <c r="E90"/>
  <c r="E93"/>
  <c r="E94"/>
  <c r="E95"/>
  <c r="E96"/>
  <c r="E97"/>
  <c r="E98"/>
  <c r="E99"/>
  <c r="E100"/>
  <c r="E101"/>
  <c r="E102"/>
  <c r="E103"/>
  <c r="E105"/>
  <c r="E106"/>
  <c r="E107"/>
  <c r="E108"/>
  <c r="E109"/>
  <c r="E110"/>
  <c r="E111"/>
  <c r="E112"/>
  <c r="E113"/>
  <c r="E114"/>
  <c r="E115"/>
  <c r="E117"/>
  <c r="E119"/>
  <c r="E121"/>
  <c r="E123"/>
  <c r="E125"/>
  <c r="E127"/>
  <c r="E130"/>
  <c r="E132"/>
  <c r="E134"/>
  <c r="E136"/>
  <c r="E138"/>
  <c r="E141"/>
  <c r="E142"/>
  <c r="E143"/>
  <c r="E144"/>
  <c r="E145"/>
  <c r="E146"/>
  <c r="E147"/>
  <c r="E148"/>
  <c r="E149"/>
  <c r="E150"/>
  <c r="E151"/>
  <c r="E153"/>
  <c r="E154"/>
  <c r="E155"/>
  <c r="E156"/>
  <c r="E157"/>
  <c r="E158"/>
  <c r="E159"/>
  <c r="E160"/>
  <c r="E161"/>
  <c r="E162"/>
  <c r="E163"/>
  <c r="E165"/>
  <c r="E167"/>
  <c r="E169"/>
  <c r="E171"/>
  <c r="E173"/>
  <c r="E175"/>
  <c r="E178"/>
  <c r="E180"/>
  <c r="E182"/>
  <c r="E184"/>
  <c r="E186"/>
  <c r="E189"/>
  <c r="E190"/>
  <c r="E191"/>
  <c r="E192"/>
  <c r="E193"/>
  <c r="E194"/>
  <c r="E195"/>
  <c r="E196"/>
  <c r="E197"/>
  <c r="E198"/>
  <c r="E199"/>
  <c r="E201"/>
  <c r="E202"/>
  <c r="E203"/>
  <c r="E204"/>
  <c r="E205"/>
  <c r="E206"/>
  <c r="E207"/>
  <c r="E208"/>
  <c r="E209"/>
  <c r="E210"/>
  <c r="E211"/>
  <c r="E213"/>
  <c r="E215"/>
  <c r="E217"/>
  <c r="E219"/>
  <c r="E221"/>
  <c r="E223"/>
  <c r="E226"/>
  <c r="E228"/>
  <c r="E230"/>
  <c r="E232"/>
  <c r="E234"/>
  <c r="E237"/>
  <c r="E238"/>
  <c r="E239"/>
  <c r="E240"/>
  <c r="E241"/>
  <c r="F241"/>
  <c r="B241"/>
  <c r="F240"/>
  <c r="B240"/>
  <c r="F239"/>
  <c r="B239"/>
  <c r="B7"/>
  <c r="F238"/>
  <c r="B238"/>
  <c r="B9"/>
  <c r="F237"/>
  <c r="F236"/>
  <c r="B236"/>
  <c r="F11"/>
  <c r="B8"/>
  <c r="B20"/>
  <c r="F235"/>
  <c r="B235"/>
  <c r="B12"/>
  <c r="B21"/>
  <c r="F234"/>
  <c r="B234"/>
  <c r="F22"/>
  <c r="B15"/>
  <c r="B22"/>
  <c r="F233"/>
  <c r="B233"/>
  <c r="B16"/>
  <c r="B23"/>
  <c r="F232"/>
  <c r="B232"/>
  <c r="F24"/>
  <c r="B17"/>
  <c r="F231"/>
  <c r="B231"/>
  <c r="B18"/>
  <c r="F230"/>
  <c r="B230"/>
  <c r="F26"/>
  <c r="B19"/>
  <c r="B14"/>
  <c r="B26"/>
  <c r="F229"/>
  <c r="B229"/>
  <c r="F27"/>
  <c r="F228"/>
  <c r="B228"/>
  <c r="F28"/>
  <c r="F227"/>
  <c r="B227"/>
  <c r="F29"/>
  <c r="B29"/>
  <c r="F226"/>
  <c r="B226"/>
  <c r="F30"/>
  <c r="F225"/>
  <c r="F31"/>
  <c r="B31"/>
  <c r="F224"/>
  <c r="B224"/>
  <c r="F32"/>
  <c r="F223"/>
  <c r="B223"/>
  <c r="F33"/>
  <c r="B33"/>
  <c r="F222"/>
  <c r="B222"/>
  <c r="F34"/>
  <c r="F221"/>
  <c r="B221"/>
  <c r="F35"/>
  <c r="B35"/>
  <c r="F220"/>
  <c r="B220"/>
  <c r="F36"/>
  <c r="B36"/>
  <c r="F219"/>
  <c r="B219"/>
  <c r="F37"/>
  <c r="F218"/>
  <c r="B218"/>
  <c r="F38"/>
  <c r="B38"/>
  <c r="F217"/>
  <c r="B217"/>
  <c r="F39"/>
  <c r="B39"/>
  <c r="F216"/>
  <c r="B216"/>
  <c r="F40"/>
  <c r="F215"/>
  <c r="B215"/>
  <c r="F41"/>
  <c r="B41"/>
  <c r="F214"/>
  <c r="B214"/>
  <c r="F42"/>
  <c r="B42"/>
  <c r="F213"/>
  <c r="F43"/>
  <c r="F212"/>
  <c r="B212"/>
  <c r="F44"/>
  <c r="B44"/>
  <c r="F211"/>
  <c r="B211"/>
  <c r="F45"/>
  <c r="F210"/>
  <c r="B210"/>
  <c r="F46"/>
  <c r="B46"/>
  <c r="F209"/>
  <c r="B209"/>
  <c r="F47"/>
  <c r="B47"/>
  <c r="F208"/>
  <c r="B208"/>
  <c r="F48"/>
  <c r="F207"/>
  <c r="B207"/>
  <c r="F49"/>
  <c r="B49"/>
  <c r="F206"/>
  <c r="B206"/>
  <c r="B50"/>
  <c r="F205"/>
  <c r="B205"/>
  <c r="B51"/>
  <c r="F204"/>
  <c r="B204"/>
  <c r="F203"/>
  <c r="B203"/>
  <c r="B53"/>
  <c r="F202"/>
  <c r="B202"/>
  <c r="F201"/>
  <c r="B201"/>
  <c r="F55"/>
  <c r="F200"/>
  <c r="B200"/>
  <c r="F56"/>
  <c r="B56"/>
  <c r="F199"/>
  <c r="B199"/>
  <c r="F57"/>
  <c r="B57"/>
  <c r="F198"/>
  <c r="B198"/>
  <c r="F58"/>
  <c r="B58"/>
  <c r="F197"/>
  <c r="B197"/>
  <c r="F59"/>
  <c r="B59"/>
  <c r="F196"/>
  <c r="B196"/>
  <c r="F60"/>
  <c r="F195"/>
  <c r="B195"/>
  <c r="F61"/>
  <c r="F194"/>
  <c r="B194"/>
  <c r="F63"/>
  <c r="F193"/>
  <c r="B193"/>
  <c r="F64"/>
  <c r="B64"/>
  <c r="F192"/>
  <c r="B192"/>
  <c r="F65"/>
  <c r="B65"/>
  <c r="F191"/>
  <c r="B191"/>
  <c r="F66"/>
  <c r="B66"/>
  <c r="F190"/>
  <c r="F67"/>
  <c r="B67"/>
  <c r="F189"/>
  <c r="B189"/>
  <c r="F69"/>
  <c r="B69"/>
  <c r="F188"/>
  <c r="B188"/>
  <c r="F70"/>
  <c r="F68"/>
  <c r="B68"/>
  <c r="F187"/>
  <c r="B187"/>
  <c r="F71"/>
  <c r="B71"/>
  <c r="F186"/>
  <c r="B186"/>
  <c r="F72"/>
  <c r="B72"/>
  <c r="F185"/>
  <c r="B185"/>
  <c r="F73"/>
  <c r="B73"/>
  <c r="F184"/>
  <c r="B184"/>
  <c r="F75"/>
  <c r="B75"/>
  <c r="F183"/>
  <c r="B183"/>
  <c r="F76"/>
  <c r="B76"/>
  <c r="F182"/>
  <c r="B182"/>
  <c r="F77"/>
  <c r="F80"/>
  <c r="B77"/>
  <c r="F181"/>
  <c r="F78"/>
  <c r="F81"/>
  <c r="B78"/>
  <c r="B81"/>
  <c r="F180"/>
  <c r="B180"/>
  <c r="F79"/>
  <c r="F82"/>
  <c r="B79"/>
  <c r="B82"/>
  <c r="F179"/>
  <c r="B179"/>
  <c r="F83"/>
  <c r="B83"/>
  <c r="F178"/>
  <c r="B178"/>
  <c r="F84"/>
  <c r="F177"/>
  <c r="B177"/>
  <c r="F85"/>
  <c r="B85"/>
  <c r="F176"/>
  <c r="B176"/>
  <c r="F86"/>
  <c r="B86"/>
  <c r="F175"/>
  <c r="B175"/>
  <c r="F87"/>
  <c r="B87"/>
  <c r="F174"/>
  <c r="B174"/>
  <c r="F88"/>
  <c r="B88"/>
  <c r="F173"/>
  <c r="B173"/>
  <c r="F89"/>
  <c r="B89"/>
  <c r="F172"/>
  <c r="B172"/>
  <c r="F90"/>
  <c r="B90"/>
  <c r="F171"/>
  <c r="B171"/>
  <c r="F91"/>
  <c r="B91"/>
  <c r="F170"/>
  <c r="B170"/>
  <c r="F74"/>
  <c r="F92"/>
  <c r="B74"/>
  <c r="B92"/>
  <c r="F169"/>
  <c r="B169"/>
  <c r="F93"/>
  <c r="B93"/>
  <c r="F168"/>
  <c r="B168"/>
  <c r="F94"/>
  <c r="B94"/>
  <c r="F167"/>
  <c r="B167"/>
  <c r="F95"/>
  <c r="B95"/>
  <c r="F166"/>
  <c r="B166"/>
  <c r="F96"/>
  <c r="B96"/>
  <c r="F165"/>
  <c r="F97"/>
  <c r="B97"/>
  <c r="F164"/>
  <c r="B164"/>
  <c r="F99"/>
  <c r="F98"/>
  <c r="B99"/>
  <c r="B98"/>
  <c r="F163"/>
  <c r="B163"/>
  <c r="F100"/>
  <c r="B100"/>
  <c r="F162"/>
  <c r="B162"/>
  <c r="F101"/>
  <c r="B101"/>
  <c r="F161"/>
  <c r="B161"/>
  <c r="F102"/>
  <c r="B102"/>
  <c r="F160"/>
  <c r="B160"/>
  <c r="F103"/>
  <c r="B103"/>
  <c r="F159"/>
  <c r="B159"/>
  <c r="F105"/>
  <c r="B105"/>
  <c r="F158"/>
  <c r="B158"/>
  <c r="F106"/>
  <c r="F104"/>
  <c r="B106"/>
  <c r="B104"/>
  <c r="F157"/>
  <c r="F107"/>
  <c r="B107"/>
  <c r="F156"/>
  <c r="B156"/>
  <c r="F108"/>
  <c r="B108"/>
  <c r="F155"/>
  <c r="B155"/>
  <c r="F109"/>
  <c r="B109"/>
  <c r="F154"/>
  <c r="B154"/>
  <c r="F111"/>
  <c r="B111"/>
  <c r="F153"/>
  <c r="B153"/>
  <c r="F112"/>
  <c r="B112"/>
  <c r="F152"/>
  <c r="B152"/>
  <c r="F113"/>
  <c r="F110"/>
  <c r="B113"/>
  <c r="B110"/>
  <c r="F151"/>
  <c r="B151"/>
  <c r="F114"/>
  <c r="B114"/>
  <c r="F150"/>
  <c r="F115"/>
  <c r="B115"/>
  <c r="F149"/>
  <c r="B149"/>
  <c r="F117"/>
  <c r="B117"/>
  <c r="F148"/>
  <c r="B148"/>
  <c r="F118"/>
  <c r="B118"/>
  <c r="F147"/>
  <c r="B147"/>
  <c r="F119"/>
  <c r="B119"/>
  <c r="F146"/>
  <c r="B146"/>
  <c r="F120"/>
  <c r="F116"/>
  <c r="B120"/>
  <c r="B116"/>
  <c r="F145"/>
  <c r="B145"/>
  <c r="F121"/>
  <c r="B121"/>
  <c r="F144"/>
  <c r="B144"/>
  <c r="F123"/>
  <c r="B123"/>
  <c r="F143"/>
  <c r="B143"/>
  <c r="F124"/>
  <c r="B124"/>
  <c r="F142"/>
  <c r="F125"/>
  <c r="B125"/>
  <c r="F141"/>
  <c r="B141"/>
  <c r="F126"/>
  <c r="B126"/>
  <c r="F140"/>
  <c r="B140"/>
  <c r="F127"/>
  <c r="F122"/>
  <c r="B127"/>
  <c r="B122"/>
  <c r="F139"/>
  <c r="B139"/>
  <c r="F129"/>
  <c r="B129"/>
  <c r="F138"/>
  <c r="B138"/>
  <c r="F130"/>
  <c r="B130"/>
  <c r="F137"/>
  <c r="B137"/>
  <c r="F131"/>
  <c r="B131"/>
  <c r="F136"/>
  <c r="B136"/>
  <c r="F132"/>
  <c r="B132"/>
  <c r="F135"/>
  <c r="B135"/>
  <c r="F133"/>
  <c r="B133"/>
  <c r="F134"/>
  <c r="B134"/>
  <c r="F128"/>
  <c r="B128"/>
  <c r="C9" i="5"/>
  <c r="E9"/>
  <c r="C10"/>
  <c r="E10"/>
  <c r="C11"/>
  <c r="E11"/>
  <c r="C12"/>
  <c r="E12"/>
  <c r="C13"/>
  <c r="E13"/>
  <c r="C8"/>
  <c r="E8"/>
  <c r="C3"/>
  <c r="E3"/>
  <c r="C4"/>
  <c r="E4"/>
  <c r="C5"/>
  <c r="E5"/>
  <c r="C6"/>
  <c r="E6"/>
  <c r="C7"/>
  <c r="E7"/>
  <c r="C2"/>
  <c r="E2"/>
  <c r="E20"/>
  <c r="E26"/>
  <c r="E32"/>
  <c r="E38"/>
  <c r="E41"/>
  <c r="E43"/>
  <c r="E49"/>
  <c r="E52"/>
  <c r="E53"/>
  <c r="E55"/>
  <c r="E57"/>
  <c r="E59"/>
  <c r="E60"/>
  <c r="E61"/>
  <c r="E62"/>
  <c r="E64"/>
  <c r="E67"/>
  <c r="E68"/>
  <c r="E69"/>
  <c r="E70"/>
  <c r="E71"/>
  <c r="E72"/>
  <c r="E73"/>
  <c r="E74"/>
  <c r="E75"/>
  <c r="E76"/>
  <c r="E77"/>
  <c r="E80"/>
  <c r="E81"/>
  <c r="E82"/>
  <c r="E83"/>
  <c r="E84"/>
  <c r="E85"/>
  <c r="E86"/>
  <c r="E87"/>
  <c r="E89"/>
  <c r="E92"/>
  <c r="E93"/>
  <c r="E94"/>
  <c r="E95"/>
  <c r="E96"/>
  <c r="E97"/>
  <c r="E98"/>
  <c r="E99"/>
  <c r="E101"/>
  <c r="E103"/>
  <c r="E104"/>
  <c r="E105"/>
  <c r="E106"/>
  <c r="E107"/>
  <c r="E108"/>
  <c r="E109"/>
  <c r="E110"/>
  <c r="E112"/>
  <c r="E115"/>
  <c r="E116"/>
  <c r="E117"/>
  <c r="E118"/>
  <c r="E119"/>
  <c r="E120"/>
  <c r="E121"/>
  <c r="E122"/>
  <c r="E123"/>
  <c r="E124"/>
  <c r="E125"/>
  <c r="E128"/>
  <c r="E129"/>
  <c r="E130"/>
  <c r="E131"/>
  <c r="E132"/>
  <c r="E133"/>
  <c r="E134"/>
  <c r="E135"/>
  <c r="E137"/>
  <c r="E140"/>
  <c r="E141"/>
  <c r="E142"/>
  <c r="E143"/>
  <c r="E144"/>
  <c r="E145"/>
  <c r="E146"/>
  <c r="E147"/>
  <c r="E149"/>
  <c r="E151"/>
  <c r="E152"/>
  <c r="E153"/>
  <c r="E154"/>
  <c r="E155"/>
  <c r="E156"/>
  <c r="E157"/>
  <c r="E158"/>
  <c r="E160"/>
  <c r="E163"/>
  <c r="E164"/>
  <c r="E165"/>
  <c r="E166"/>
  <c r="E167"/>
  <c r="E168"/>
  <c r="E169"/>
  <c r="E170"/>
  <c r="E171"/>
  <c r="E172"/>
  <c r="E173"/>
  <c r="E176"/>
  <c r="E177"/>
  <c r="E178"/>
  <c r="E179"/>
  <c r="E180"/>
  <c r="E181"/>
  <c r="E182"/>
  <c r="E183"/>
  <c r="E185"/>
  <c r="E188"/>
  <c r="E189"/>
  <c r="E190"/>
  <c r="E191"/>
  <c r="E192"/>
  <c r="E193"/>
  <c r="E194"/>
  <c r="E195"/>
  <c r="E197"/>
  <c r="E199"/>
  <c r="E200"/>
  <c r="E201"/>
  <c r="E202"/>
  <c r="E203"/>
  <c r="E204"/>
  <c r="E205"/>
  <c r="E206"/>
  <c r="E208"/>
  <c r="E211"/>
  <c r="E212"/>
  <c r="E213"/>
  <c r="E214"/>
  <c r="E215"/>
  <c r="E216"/>
  <c r="E217"/>
  <c r="E218"/>
  <c r="E219"/>
  <c r="E220"/>
  <c r="E221"/>
  <c r="E224"/>
  <c r="E225"/>
  <c r="E226"/>
  <c r="E227"/>
  <c r="E228"/>
  <c r="E229"/>
  <c r="E230"/>
  <c r="E231"/>
  <c r="E233"/>
  <c r="E236"/>
  <c r="E237"/>
  <c r="E238"/>
  <c r="E239"/>
  <c r="E240"/>
  <c r="E241"/>
  <c r="F15"/>
  <c r="F19"/>
  <c r="F199"/>
  <c r="B5"/>
  <c r="B2"/>
  <c r="B199"/>
  <c r="F241"/>
  <c r="B241"/>
  <c r="F200"/>
  <c r="B200"/>
  <c r="F240"/>
  <c r="B240"/>
  <c r="F201"/>
  <c r="B7"/>
  <c r="B201"/>
  <c r="F239"/>
  <c r="B239"/>
  <c r="F202"/>
  <c r="B9"/>
  <c r="B202"/>
  <c r="F238"/>
  <c r="B238"/>
  <c r="F203"/>
  <c r="B203"/>
  <c r="F237"/>
  <c r="F204"/>
  <c r="B11"/>
  <c r="B204"/>
  <c r="F236"/>
  <c r="B236"/>
  <c r="F205"/>
  <c r="B8"/>
  <c r="B205"/>
  <c r="F235"/>
  <c r="B235"/>
  <c r="F206"/>
  <c r="B13"/>
  <c r="B206"/>
  <c r="F234"/>
  <c r="B234"/>
  <c r="F207"/>
  <c r="B15"/>
  <c r="B207"/>
  <c r="F233"/>
  <c r="B233"/>
  <c r="F208"/>
  <c r="B16"/>
  <c r="B208"/>
  <c r="F232"/>
  <c r="B232"/>
  <c r="F209"/>
  <c r="B17"/>
  <c r="B209"/>
  <c r="F231"/>
  <c r="B231"/>
  <c r="F210"/>
  <c r="B210"/>
  <c r="F230"/>
  <c r="B230"/>
  <c r="F211"/>
  <c r="B19"/>
  <c r="B14"/>
  <c r="B211"/>
  <c r="F229"/>
  <c r="B229"/>
  <c r="F21"/>
  <c r="F212"/>
  <c r="B21"/>
  <c r="B212"/>
  <c r="F228"/>
  <c r="B228"/>
  <c r="F22"/>
  <c r="F213"/>
  <c r="B22"/>
  <c r="F227"/>
  <c r="B227"/>
  <c r="F23"/>
  <c r="F214"/>
  <c r="B23"/>
  <c r="B214"/>
  <c r="F226"/>
  <c r="B226"/>
  <c r="F24"/>
  <c r="F215"/>
  <c r="B24"/>
  <c r="B215"/>
  <c r="F225"/>
  <c r="F25"/>
  <c r="F216"/>
  <c r="B25"/>
  <c r="B216"/>
  <c r="F224"/>
  <c r="B224"/>
  <c r="F27"/>
  <c r="F217"/>
  <c r="B20"/>
  <c r="B217"/>
  <c r="F223"/>
  <c r="B223"/>
  <c r="F28"/>
  <c r="F218"/>
  <c r="B28"/>
  <c r="B218"/>
  <c r="F222"/>
  <c r="B222"/>
  <c r="F29"/>
  <c r="F219"/>
  <c r="B29"/>
  <c r="B219"/>
  <c r="F221"/>
  <c r="B221"/>
  <c r="F30"/>
  <c r="F220"/>
  <c r="B220"/>
  <c r="F31"/>
  <c r="B31"/>
  <c r="F33"/>
  <c r="B33"/>
  <c r="F34"/>
  <c r="F26"/>
  <c r="B26"/>
  <c r="F35"/>
  <c r="B35"/>
  <c r="F36"/>
  <c r="B36"/>
  <c r="F37"/>
  <c r="F39"/>
  <c r="B39"/>
  <c r="F40"/>
  <c r="F41"/>
  <c r="F32"/>
  <c r="F68"/>
  <c r="B41"/>
  <c r="F42"/>
  <c r="F69"/>
  <c r="B42"/>
  <c r="F43"/>
  <c r="F70"/>
  <c r="F71"/>
  <c r="F46"/>
  <c r="F72"/>
  <c r="F73"/>
  <c r="B47"/>
  <c r="F38"/>
  <c r="B49"/>
  <c r="F52"/>
  <c r="F53"/>
  <c r="B53"/>
  <c r="F54"/>
  <c r="B55"/>
  <c r="B44"/>
  <c r="F57"/>
  <c r="F163"/>
  <c r="B57"/>
  <c r="B163"/>
  <c r="F198"/>
  <c r="B198"/>
  <c r="F58"/>
  <c r="B58"/>
  <c r="F197"/>
  <c r="B197"/>
  <c r="F59"/>
  <c r="F82"/>
  <c r="B82"/>
  <c r="F196"/>
  <c r="B196"/>
  <c r="F60"/>
  <c r="B60"/>
  <c r="F195"/>
  <c r="B195"/>
  <c r="F61"/>
  <c r="F79"/>
  <c r="B79"/>
  <c r="F194"/>
  <c r="B194"/>
  <c r="F63"/>
  <c r="F159"/>
  <c r="B50"/>
  <c r="B159"/>
  <c r="F193"/>
  <c r="B193"/>
  <c r="F64"/>
  <c r="F102"/>
  <c r="B64"/>
  <c r="B102"/>
  <c r="F192"/>
  <c r="B192"/>
  <c r="F65"/>
  <c r="F191"/>
  <c r="B191"/>
  <c r="F66"/>
  <c r="F172"/>
  <c r="B172"/>
  <c r="F190"/>
  <c r="F67"/>
  <c r="F156"/>
  <c r="B67"/>
  <c r="B156"/>
  <c r="F189"/>
  <c r="B189"/>
  <c r="F162"/>
  <c r="B69"/>
  <c r="B162"/>
  <c r="F188"/>
  <c r="B188"/>
  <c r="F183"/>
  <c r="B56"/>
  <c r="B183"/>
  <c r="F187"/>
  <c r="B187"/>
  <c r="B71"/>
  <c r="F186"/>
  <c r="B186"/>
  <c r="B72"/>
  <c r="F185"/>
  <c r="B185"/>
  <c r="F120"/>
  <c r="B73"/>
  <c r="B120"/>
  <c r="F184"/>
  <c r="B184"/>
  <c r="F75"/>
  <c r="B75"/>
  <c r="F76"/>
  <c r="F80"/>
  <c r="B76"/>
  <c r="F182"/>
  <c r="B182"/>
  <c r="F77"/>
  <c r="F124"/>
  <c r="B77"/>
  <c r="B124"/>
  <c r="F181"/>
  <c r="B181"/>
  <c r="F78"/>
  <c r="F180"/>
  <c r="B180"/>
  <c r="F179"/>
  <c r="B179"/>
  <c r="F81"/>
  <c r="B81"/>
  <c r="F178"/>
  <c r="B178"/>
  <c r="F103"/>
  <c r="B103"/>
  <c r="F177"/>
  <c r="B177"/>
  <c r="F83"/>
  <c r="F118"/>
  <c r="B83"/>
  <c r="B118"/>
  <c r="F176"/>
  <c r="B176"/>
  <c r="F84"/>
  <c r="F113"/>
  <c r="B68"/>
  <c r="B113"/>
  <c r="F175"/>
  <c r="B175"/>
  <c r="F85"/>
  <c r="F142"/>
  <c r="B85"/>
  <c r="F174"/>
  <c r="B174"/>
  <c r="F87"/>
  <c r="B87"/>
  <c r="F173"/>
  <c r="B173"/>
  <c r="F88"/>
  <c r="F101"/>
  <c r="B88"/>
  <c r="B101"/>
  <c r="F89"/>
  <c r="F117"/>
  <c r="B89"/>
  <c r="B117"/>
  <c r="F171"/>
  <c r="B171"/>
  <c r="F90"/>
  <c r="F169"/>
  <c r="B90"/>
  <c r="B169"/>
  <c r="F170"/>
  <c r="B170"/>
  <c r="F91"/>
  <c r="F74"/>
  <c r="B91"/>
  <c r="B74"/>
  <c r="F93"/>
  <c r="B93"/>
  <c r="F168"/>
  <c r="B168"/>
  <c r="F94"/>
  <c r="B94"/>
  <c r="F167"/>
  <c r="B167"/>
  <c r="F95"/>
  <c r="B95"/>
  <c r="F166"/>
  <c r="B166"/>
  <c r="F96"/>
  <c r="B96"/>
  <c r="F165"/>
  <c r="F97"/>
  <c r="B97"/>
  <c r="F164"/>
  <c r="B164"/>
  <c r="F99"/>
  <c r="F107"/>
  <c r="B99"/>
  <c r="B107"/>
  <c r="F100"/>
  <c r="F119"/>
  <c r="B100"/>
  <c r="B119"/>
  <c r="F161"/>
  <c r="B161"/>
  <c r="F160"/>
  <c r="B160"/>
  <c r="F105"/>
  <c r="B105"/>
  <c r="F158"/>
  <c r="B158"/>
  <c r="F106"/>
  <c r="F86"/>
  <c r="B106"/>
  <c r="B86"/>
  <c r="F157"/>
  <c r="F108"/>
  <c r="B108"/>
  <c r="F155"/>
  <c r="B155"/>
  <c r="F109"/>
  <c r="B109"/>
  <c r="F154"/>
  <c r="B154"/>
  <c r="F111"/>
  <c r="B111"/>
  <c r="F153"/>
  <c r="B153"/>
  <c r="F112"/>
  <c r="F133"/>
  <c r="B112"/>
  <c r="B133"/>
  <c r="F152"/>
  <c r="B152"/>
  <c r="F92"/>
  <c r="F136"/>
  <c r="B92"/>
  <c r="B136"/>
  <c r="F151"/>
  <c r="B151"/>
  <c r="F114"/>
  <c r="B114"/>
  <c r="F150"/>
  <c r="F115"/>
  <c r="B115"/>
  <c r="F149"/>
  <c r="B149"/>
  <c r="F148"/>
  <c r="B148"/>
  <c r="F147"/>
  <c r="B147"/>
  <c r="F146"/>
  <c r="B146"/>
  <c r="F98"/>
  <c r="F134"/>
  <c r="B98"/>
  <c r="B134"/>
  <c r="F145"/>
  <c r="B145"/>
  <c r="F121"/>
  <c r="B121"/>
  <c r="F144"/>
  <c r="B144"/>
  <c r="F123"/>
  <c r="B123"/>
  <c r="F143"/>
  <c r="B143"/>
  <c r="F125"/>
  <c r="B125"/>
  <c r="F141"/>
  <c r="B141"/>
  <c r="F126"/>
  <c r="B126"/>
  <c r="F140"/>
  <c r="B140"/>
  <c r="F127"/>
  <c r="F104"/>
  <c r="B127"/>
  <c r="B104"/>
  <c r="F139"/>
  <c r="B139"/>
  <c r="F129"/>
  <c r="B129"/>
  <c r="F138"/>
  <c r="B138"/>
  <c r="F130"/>
  <c r="B130"/>
  <c r="F137"/>
  <c r="B137"/>
  <c r="F131"/>
  <c r="B131"/>
  <c r="F132"/>
  <c r="B132"/>
  <c r="F135"/>
  <c r="B135"/>
  <c r="F110"/>
  <c r="B110"/>
  <c r="F128"/>
  <c r="B128"/>
  <c r="F116"/>
  <c r="B116"/>
  <c r="F122"/>
  <c r="B122"/>
  <c r="F128" i="4"/>
  <c r="F15"/>
  <c r="F18"/>
  <c r="F74"/>
  <c r="F85"/>
  <c r="F172"/>
  <c r="F26"/>
  <c r="F124"/>
  <c r="F32"/>
  <c r="F171"/>
  <c r="F38"/>
  <c r="F177"/>
  <c r="F76"/>
  <c r="F102"/>
  <c r="F98"/>
  <c r="F195"/>
  <c r="F68"/>
  <c r="F125"/>
  <c r="F27"/>
  <c r="F80"/>
  <c r="F130"/>
  <c r="F86"/>
  <c r="F146"/>
  <c r="F92"/>
  <c r="F75"/>
  <c r="F104"/>
  <c r="F110"/>
  <c r="F99"/>
  <c r="F116"/>
  <c r="F55"/>
  <c r="F122"/>
  <c r="F141"/>
  <c r="F159"/>
  <c r="F134"/>
  <c r="F176"/>
  <c r="F140"/>
  <c r="F52"/>
  <c r="F152"/>
  <c r="F158"/>
  <c r="F164"/>
  <c r="F45"/>
  <c r="F170"/>
  <c r="F69"/>
  <c r="F95"/>
  <c r="F118"/>
  <c r="F182"/>
  <c r="F65"/>
  <c r="F188"/>
  <c r="F194"/>
  <c r="F200"/>
  <c r="F36"/>
  <c r="F206"/>
  <c r="F212"/>
  <c r="F218"/>
  <c r="F224"/>
  <c r="F230"/>
  <c r="F105"/>
  <c r="F236"/>
  <c r="F117"/>
  <c r="F139"/>
  <c r="F70"/>
  <c r="F84"/>
  <c r="F142"/>
  <c r="F83"/>
  <c r="F123"/>
  <c r="F166"/>
  <c r="F190"/>
  <c r="F114"/>
  <c r="F42"/>
  <c r="F162"/>
  <c r="F138"/>
  <c r="F23"/>
  <c r="F40"/>
  <c r="F79"/>
  <c r="F183"/>
  <c r="F127"/>
  <c r="F165"/>
  <c r="F100"/>
  <c r="F111"/>
  <c r="F151"/>
  <c r="F192"/>
  <c r="F107"/>
  <c r="F129"/>
  <c r="F108"/>
  <c r="F113"/>
  <c r="F106"/>
  <c r="F173"/>
  <c r="F119"/>
  <c r="F131"/>
  <c r="F148"/>
  <c r="F179"/>
  <c r="F126"/>
  <c r="F153"/>
  <c r="F71"/>
  <c r="F196"/>
  <c r="F33"/>
  <c r="F147"/>
  <c r="F156"/>
  <c r="F88"/>
  <c r="F93"/>
  <c r="F174"/>
  <c r="F181"/>
  <c r="F161"/>
  <c r="F189"/>
  <c r="F193"/>
  <c r="F197"/>
  <c r="F97"/>
  <c r="F10"/>
  <c r="F101"/>
  <c r="F180"/>
  <c r="F94"/>
  <c r="F149"/>
  <c r="F175"/>
  <c r="F63"/>
  <c r="F73"/>
  <c r="F77"/>
  <c r="F109"/>
  <c r="F169"/>
  <c r="F143"/>
  <c r="F66"/>
  <c r="F82"/>
  <c r="F186"/>
  <c r="F167"/>
  <c r="F136"/>
  <c r="F154"/>
  <c r="F25"/>
  <c r="F29"/>
  <c r="F96"/>
  <c r="F103"/>
  <c r="F120"/>
  <c r="F67"/>
  <c r="F191"/>
  <c r="F39"/>
  <c r="F135"/>
  <c r="F137"/>
  <c r="F43"/>
  <c r="F72"/>
  <c r="F81"/>
  <c r="F89"/>
  <c r="F155"/>
  <c r="F184"/>
  <c r="F112"/>
  <c r="F31"/>
  <c r="F34"/>
  <c r="F41"/>
  <c r="F54"/>
  <c r="F163"/>
  <c r="F115"/>
  <c r="F144"/>
  <c r="F145"/>
  <c r="F133"/>
  <c r="F78"/>
  <c r="F150"/>
  <c r="F87"/>
  <c r="F121"/>
  <c r="F157"/>
  <c r="F185"/>
  <c r="F168"/>
  <c r="F30"/>
  <c r="F178"/>
  <c r="F160"/>
  <c r="F132"/>
  <c r="F37"/>
  <c r="F90"/>
  <c r="F198"/>
  <c r="F28"/>
  <c r="F35"/>
  <c r="F187"/>
  <c r="B3"/>
  <c r="B14"/>
  <c r="B241"/>
  <c r="B128"/>
  <c r="B20"/>
  <c r="B2"/>
  <c r="B44"/>
  <c r="B8"/>
  <c r="B74"/>
  <c r="B85"/>
  <c r="B172"/>
  <c r="B26"/>
  <c r="B124"/>
  <c r="B171"/>
  <c r="B177"/>
  <c r="B76"/>
  <c r="B102"/>
  <c r="B56"/>
  <c r="B98"/>
  <c r="B195"/>
  <c r="B68"/>
  <c r="B125"/>
  <c r="B130"/>
  <c r="B86"/>
  <c r="B146"/>
  <c r="B92"/>
  <c r="B75"/>
  <c r="B104"/>
  <c r="B110"/>
  <c r="B99"/>
  <c r="B116"/>
  <c r="B55"/>
  <c r="B122"/>
  <c r="B141"/>
  <c r="B159"/>
  <c r="B134"/>
  <c r="B176"/>
  <c r="B140"/>
  <c r="B51"/>
  <c r="B152"/>
  <c r="B158"/>
  <c r="B16"/>
  <c r="B164"/>
  <c r="B170"/>
  <c r="B95"/>
  <c r="B118"/>
  <c r="B182"/>
  <c r="B65"/>
  <c r="B188"/>
  <c r="B194"/>
  <c r="B24"/>
  <c r="B200"/>
  <c r="B36"/>
  <c r="B206"/>
  <c r="B69"/>
  <c r="B212"/>
  <c r="B218"/>
  <c r="B224"/>
  <c r="B230"/>
  <c r="B105"/>
  <c r="B236"/>
  <c r="B117"/>
  <c r="B139"/>
  <c r="B64"/>
  <c r="B83"/>
  <c r="B123"/>
  <c r="B166"/>
  <c r="B70"/>
  <c r="B114"/>
  <c r="B42"/>
  <c r="B162"/>
  <c r="B138"/>
  <c r="B23"/>
  <c r="B79"/>
  <c r="B183"/>
  <c r="B127"/>
  <c r="B21"/>
  <c r="B100"/>
  <c r="B22"/>
  <c r="B111"/>
  <c r="B151"/>
  <c r="B18"/>
  <c r="B192"/>
  <c r="B15"/>
  <c r="B107"/>
  <c r="B129"/>
  <c r="B108"/>
  <c r="B113"/>
  <c r="B49"/>
  <c r="B57"/>
  <c r="B106"/>
  <c r="B173"/>
  <c r="B119"/>
  <c r="B131"/>
  <c r="B148"/>
  <c r="B179"/>
  <c r="B126"/>
  <c r="B153"/>
  <c r="B196"/>
  <c r="B33"/>
  <c r="B147"/>
  <c r="B156"/>
  <c r="B88"/>
  <c r="B93"/>
  <c r="B174"/>
  <c r="B181"/>
  <c r="B161"/>
  <c r="B189"/>
  <c r="B193"/>
  <c r="B197"/>
  <c r="B97"/>
  <c r="B101"/>
  <c r="B180"/>
  <c r="B94"/>
  <c r="B149"/>
  <c r="B175"/>
  <c r="B53"/>
  <c r="B63"/>
  <c r="B71"/>
  <c r="B77"/>
  <c r="B109"/>
  <c r="B169"/>
  <c r="B61"/>
  <c r="B143"/>
  <c r="B66"/>
  <c r="B82"/>
  <c r="B186"/>
  <c r="B47"/>
  <c r="B167"/>
  <c r="B136"/>
  <c r="B154"/>
  <c r="B25"/>
  <c r="B29"/>
  <c r="B96"/>
  <c r="B19"/>
  <c r="B103"/>
  <c r="B120"/>
  <c r="B67"/>
  <c r="B191"/>
  <c r="B135"/>
  <c r="B137"/>
  <c r="B81"/>
  <c r="B89"/>
  <c r="B155"/>
  <c r="B184"/>
  <c r="B73"/>
  <c r="B48"/>
  <c r="B112"/>
  <c r="B31"/>
  <c r="B41"/>
  <c r="B54"/>
  <c r="B163"/>
  <c r="B115"/>
  <c r="B144"/>
  <c r="B145"/>
  <c r="B133"/>
  <c r="B87"/>
  <c r="B121"/>
  <c r="B17"/>
  <c r="B185"/>
  <c r="B168"/>
  <c r="B60"/>
  <c r="B58"/>
  <c r="B178"/>
  <c r="B160"/>
  <c r="B132"/>
  <c r="B90"/>
  <c r="B198"/>
  <c r="B11"/>
  <c r="B35"/>
  <c r="B72"/>
  <c r="B187"/>
  <c r="F237"/>
  <c r="F238"/>
  <c r="F239"/>
  <c r="F240"/>
  <c r="F241"/>
  <c r="F231"/>
  <c r="F232"/>
  <c r="F233"/>
  <c r="F234"/>
  <c r="F235"/>
  <c r="F225"/>
  <c r="F226"/>
  <c r="F227"/>
  <c r="F228"/>
  <c r="F229"/>
  <c r="F219"/>
  <c r="F220"/>
  <c r="F221"/>
  <c r="F222"/>
  <c r="F223"/>
  <c r="F213"/>
  <c r="F214"/>
  <c r="F215"/>
  <c r="F216"/>
  <c r="F217"/>
  <c r="F207"/>
  <c r="F208"/>
  <c r="F209"/>
  <c r="F210"/>
  <c r="F211"/>
  <c r="F201"/>
  <c r="F202"/>
  <c r="F203"/>
  <c r="F204"/>
  <c r="F205"/>
  <c r="F199"/>
  <c r="F91"/>
  <c r="B237"/>
  <c r="B238"/>
  <c r="B239"/>
  <c r="B240"/>
  <c r="B7"/>
  <c r="B91"/>
  <c r="B199"/>
  <c r="B201"/>
  <c r="B202"/>
  <c r="B203"/>
  <c r="B204"/>
  <c r="B205"/>
  <c r="B207"/>
  <c r="B208"/>
  <c r="B209"/>
  <c r="B210"/>
  <c r="B211"/>
  <c r="B214"/>
  <c r="B215"/>
  <c r="B216"/>
  <c r="B217"/>
  <c r="B219"/>
  <c r="B220"/>
  <c r="B221"/>
  <c r="B222"/>
  <c r="B223"/>
  <c r="B226"/>
  <c r="B227"/>
  <c r="B228"/>
  <c r="B229"/>
  <c r="B231"/>
  <c r="B232"/>
  <c r="B233"/>
  <c r="B234"/>
  <c r="B235"/>
  <c r="F4" i="3"/>
  <c r="E4"/>
  <c r="D4"/>
  <c r="C4"/>
  <c r="N3"/>
  <c r="M3"/>
  <c r="L3"/>
  <c r="K3"/>
  <c r="J3"/>
  <c r="I3"/>
  <c r="H3"/>
  <c r="G3"/>
  <c r="F3"/>
  <c r="E3"/>
  <c r="D3"/>
  <c r="C3"/>
  <c r="N2"/>
  <c r="M2"/>
  <c r="L2"/>
  <c r="K2"/>
  <c r="J2"/>
  <c r="I2"/>
  <c r="H2"/>
  <c r="G2"/>
  <c r="F2"/>
  <c r="E2"/>
  <c r="D2"/>
  <c r="C2"/>
  <c r="N1"/>
  <c r="M1"/>
  <c r="K1"/>
  <c r="J1"/>
  <c r="I1"/>
  <c r="H1"/>
  <c r="G1"/>
  <c r="E1"/>
  <c r="L13"/>
  <c r="L8"/>
  <c r="L9"/>
  <c r="L10"/>
  <c r="L11"/>
  <c r="D10"/>
  <c r="D12"/>
  <c r="M12" s="1"/>
  <c r="N12"/>
  <c r="C6" i="11" s="1"/>
  <c r="E6" s="1"/>
  <c r="D8" i="3"/>
  <c r="D9"/>
  <c r="M9" s="1"/>
  <c r="N9" s="1"/>
  <c r="C3" i="11" s="1"/>
  <c r="E3" s="1"/>
  <c r="D11" i="3"/>
  <c r="M11"/>
  <c r="D13"/>
  <c r="M13"/>
  <c r="N13" s="1"/>
  <c r="C7" i="11" s="1"/>
  <c r="E7" s="1"/>
  <c r="M240" i="3"/>
  <c r="N240" s="1"/>
  <c r="C201" i="11" s="1"/>
  <c r="E201" s="1"/>
  <c r="M242" i="3"/>
  <c r="N242" s="1"/>
  <c r="C203" i="11" s="1"/>
  <c r="E203" s="1"/>
  <c r="M244" i="3"/>
  <c r="M247"/>
  <c r="N247" s="1"/>
  <c r="M249"/>
  <c r="N249" s="1"/>
  <c r="C209" i="11" s="1"/>
  <c r="E209" s="1"/>
  <c r="M251" i="3"/>
  <c r="N251"/>
  <c r="C211" i="11" s="1"/>
  <c r="E211" s="1"/>
  <c r="M254" i="3"/>
  <c r="N254"/>
  <c r="C213" i="11" s="1"/>
  <c r="E213" s="1"/>
  <c r="M256" i="3"/>
  <c r="N256" s="1"/>
  <c r="C215" i="11" s="1"/>
  <c r="E215" s="1"/>
  <c r="M258" i="3"/>
  <c r="M261"/>
  <c r="N261" s="1"/>
  <c r="M263"/>
  <c r="N263" s="1"/>
  <c r="C221" i="11" s="1"/>
  <c r="E221" s="1"/>
  <c r="M265" i="3"/>
  <c r="N265" s="1"/>
  <c r="C223" i="11" s="1"/>
  <c r="E223" s="1"/>
  <c r="M275" i="3"/>
  <c r="M277"/>
  <c r="N277" s="1"/>
  <c r="C233" i="11" s="1"/>
  <c r="E233" s="1"/>
  <c r="M279" i="3"/>
  <c r="N279" s="1"/>
  <c r="C235" i="11" s="1"/>
  <c r="E235" s="1"/>
  <c r="M283" i="3"/>
  <c r="N283" s="1"/>
  <c r="C238" i="11" s="1"/>
  <c r="M216" i="3"/>
  <c r="N216" s="1"/>
  <c r="C181" i="11" s="1"/>
  <c r="E181" s="1"/>
  <c r="M215" i="3"/>
  <c r="N215" s="1"/>
  <c r="C180" i="11" s="1"/>
  <c r="E180" s="1"/>
  <c r="M214" i="3"/>
  <c r="N214" s="1"/>
  <c r="C179" i="11" s="1"/>
  <c r="E179" s="1"/>
  <c r="M213" i="3"/>
  <c r="N213" s="1"/>
  <c r="C178" i="11" s="1"/>
  <c r="E178" s="1"/>
  <c r="M212" i="3"/>
  <c r="N212" s="1"/>
  <c r="C177" i="11" s="1"/>
  <c r="E177" s="1"/>
  <c r="M211" i="3"/>
  <c r="N211" s="1"/>
  <c r="O216" s="1"/>
  <c r="M188"/>
  <c r="N188" s="1"/>
  <c r="C157" i="11" s="1"/>
  <c r="E157" s="1"/>
  <c r="M187" i="3"/>
  <c r="N187" s="1"/>
  <c r="M186"/>
  <c r="N186"/>
  <c r="M185"/>
  <c r="N185"/>
  <c r="C154" i="11" s="1"/>
  <c r="E154" s="1"/>
  <c r="M184" i="3"/>
  <c r="N184"/>
  <c r="C153" i="11" s="1"/>
  <c r="E153" s="1"/>
  <c r="M183" i="3"/>
  <c r="O187" s="1"/>
  <c r="B27" i="10" s="1"/>
  <c r="D27" s="1"/>
  <c r="M160" i="3"/>
  <c r="N160" s="1"/>
  <c r="C133" i="11" s="1"/>
  <c r="E133" s="1"/>
  <c r="M159" i="3"/>
  <c r="N159" s="1"/>
  <c r="C132" i="11" s="1"/>
  <c r="E132" s="1"/>
  <c r="M158" i="3"/>
  <c r="N158" s="1"/>
  <c r="C131" i="11" s="1"/>
  <c r="E131" s="1"/>
  <c r="M157" i="3"/>
  <c r="N157" s="1"/>
  <c r="C130" i="11" s="1"/>
  <c r="E130" s="1"/>
  <c r="M156" i="3"/>
  <c r="N156" s="1"/>
  <c r="C129" i="11" s="1"/>
  <c r="E129" s="1"/>
  <c r="M155" i="3"/>
  <c r="N155" s="1"/>
  <c r="M132"/>
  <c r="N132" s="1"/>
  <c r="C109" i="11"/>
  <c r="E109" s="1"/>
  <c r="M131" i="3"/>
  <c r="N131" s="1"/>
  <c r="C108" i="11"/>
  <c r="E108" s="1"/>
  <c r="M130" i="3"/>
  <c r="N130" s="1"/>
  <c r="C107" i="11"/>
  <c r="E107" s="1"/>
  <c r="M129" i="3"/>
  <c r="N129" s="1"/>
  <c r="C106" i="11"/>
  <c r="E106" s="1"/>
  <c r="M128" i="3"/>
  <c r="N128" s="1"/>
  <c r="M127"/>
  <c r="N127" s="1"/>
  <c r="M104"/>
  <c r="N104"/>
  <c r="C85" i="11" s="1"/>
  <c r="E85" s="1"/>
  <c r="M103" i="3"/>
  <c r="N103"/>
  <c r="C84" i="11" s="1"/>
  <c r="E84" s="1"/>
  <c r="M102" i="3"/>
  <c r="N102" s="1"/>
  <c r="C83" i="11" s="1"/>
  <c r="E83" s="1"/>
  <c r="M101" i="3"/>
  <c r="N101" s="1"/>
  <c r="M100"/>
  <c r="N100"/>
  <c r="C81" i="11" s="1"/>
  <c r="E81" s="1"/>
  <c r="M99" i="3"/>
  <c r="N99"/>
  <c r="M75"/>
  <c r="N75"/>
  <c r="C60" i="11" s="1"/>
  <c r="E60" s="1"/>
  <c r="M74" i="3"/>
  <c r="N74" s="1"/>
  <c r="C59" i="11" s="1"/>
  <c r="E59" s="1"/>
  <c r="M72" i="3"/>
  <c r="N72" s="1"/>
  <c r="C57" i="11" s="1"/>
  <c r="E57" s="1"/>
  <c r="M19" i="3"/>
  <c r="N19"/>
  <c r="C12" i="11" s="1"/>
  <c r="E12" s="1"/>
  <c r="M18" i="3"/>
  <c r="N18"/>
  <c r="C11" i="11" s="1"/>
  <c r="E11" s="1"/>
  <c r="M225" i="3"/>
  <c r="O229" s="1"/>
  <c r="M230"/>
  <c r="N230" s="1"/>
  <c r="C193" i="11" s="1"/>
  <c r="E193" s="1"/>
  <c r="M229" i="3"/>
  <c r="N229" s="1"/>
  <c r="C192" i="11" s="1"/>
  <c r="E192" s="1"/>
  <c r="M228" i="3"/>
  <c r="N228"/>
  <c r="C191" i="11" s="1"/>
  <c r="E191" s="1"/>
  <c r="M227" i="3"/>
  <c r="N227"/>
  <c r="C190" i="11" s="1"/>
  <c r="E190" s="1"/>
  <c r="M226" i="3"/>
  <c r="N226" s="1"/>
  <c r="C189" i="11" s="1"/>
  <c r="E189" s="1"/>
  <c r="M202" i="3"/>
  <c r="N202" s="1"/>
  <c r="C169" i="11" s="1"/>
  <c r="E169" s="1"/>
  <c r="M201" i="3"/>
  <c r="N201" s="1"/>
  <c r="C168" i="11" s="1"/>
  <c r="E168" s="1"/>
  <c r="M200" i="3"/>
  <c r="N200"/>
  <c r="C167" i="11" s="1"/>
  <c r="E167" s="1"/>
  <c r="M199" i="3"/>
  <c r="N199"/>
  <c r="C166" i="11" s="1"/>
  <c r="E166" s="1"/>
  <c r="M198" i="3"/>
  <c r="N198" s="1"/>
  <c r="C165" i="11" s="1"/>
  <c r="E165" s="1"/>
  <c r="M197" i="3"/>
  <c r="N197" s="1"/>
  <c r="M174"/>
  <c r="N174" s="1"/>
  <c r="C145" i="11" s="1"/>
  <c r="E145" s="1"/>
  <c r="M173" i="3"/>
  <c r="N173"/>
  <c r="C144" i="11" s="1"/>
  <c r="E144" s="1"/>
  <c r="M172" i="3"/>
  <c r="N172"/>
  <c r="C143" i="11" s="1"/>
  <c r="E143" s="1"/>
  <c r="M171" i="3"/>
  <c r="N171" s="1"/>
  <c r="C142" i="11" s="1"/>
  <c r="E142" s="1"/>
  <c r="M170" i="3"/>
  <c r="N170" s="1"/>
  <c r="M169"/>
  <c r="N169"/>
  <c r="M146"/>
  <c r="N146"/>
  <c r="C121" i="11" s="1"/>
  <c r="E121" s="1"/>
  <c r="M145" i="3"/>
  <c r="N145"/>
  <c r="C120" i="11" s="1"/>
  <c r="E120" s="1"/>
  <c r="M144" i="3"/>
  <c r="N144" s="1"/>
  <c r="C119" i="11" s="1"/>
  <c r="E119" s="1"/>
  <c r="M143" i="3"/>
  <c r="N143" s="1"/>
  <c r="M142"/>
  <c r="N142"/>
  <c r="C117" i="11" s="1"/>
  <c r="E117" s="1"/>
  <c r="M141" i="3"/>
  <c r="N141"/>
  <c r="M118"/>
  <c r="N118"/>
  <c r="C97" i="11" s="1"/>
  <c r="E97" s="1"/>
  <c r="M117" i="3"/>
  <c r="N117" s="1"/>
  <c r="C96" i="11" s="1"/>
  <c r="E96" s="1"/>
  <c r="M116" i="3"/>
  <c r="N116" s="1"/>
  <c r="C95" i="11" s="1"/>
  <c r="E95" s="1"/>
  <c r="M115" i="3"/>
  <c r="N115"/>
  <c r="C94" i="11" s="1"/>
  <c r="E94" s="1"/>
  <c r="M114" i="3"/>
  <c r="N114"/>
  <c r="M113"/>
  <c r="M89"/>
  <c r="N89" s="1"/>
  <c r="C72" i="11" s="1"/>
  <c r="E72" s="1"/>
  <c r="M88" i="3"/>
  <c r="N88" s="1"/>
  <c r="C71" i="11" s="1"/>
  <c r="E71" s="1"/>
  <c r="M87" i="3"/>
  <c r="N87" s="1"/>
  <c r="C70" i="11" s="1"/>
  <c r="E70" s="1"/>
  <c r="M86" i="3"/>
  <c r="N86" s="1"/>
  <c r="M85"/>
  <c r="M29"/>
  <c r="N29" s="1"/>
  <c r="N225"/>
  <c r="C188" i="11" s="1"/>
  <c r="E188" s="1"/>
  <c r="N113" i="3"/>
  <c r="C92" i="11" s="1"/>
  <c r="E92" s="1"/>
  <c r="O103" i="3"/>
  <c r="A100" s="1"/>
  <c r="C104" i="11"/>
  <c r="E104" s="1"/>
  <c r="N183" i="3"/>
  <c r="C152" i="11" s="1"/>
  <c r="E152" s="1"/>
  <c r="O215" i="3"/>
  <c r="A212" s="1"/>
  <c r="B13" i="4"/>
  <c r="B13" i="6"/>
  <c r="B38" i="4"/>
  <c r="B38" i="5"/>
  <c r="E8" i="9"/>
  <c r="B37" i="4"/>
  <c r="B37" i="6"/>
  <c r="B12"/>
  <c r="B3" i="7"/>
  <c r="B3" i="5"/>
  <c r="B3" i="6"/>
  <c r="B3" i="8"/>
  <c r="B2" i="7"/>
  <c r="M43" i="3"/>
  <c r="N43" s="1"/>
  <c r="C32" i="11" s="1"/>
  <c r="E32" s="1"/>
  <c r="M24" i="3"/>
  <c r="N24"/>
  <c r="C16" i="11" s="1"/>
  <c r="E16" s="1"/>
  <c r="M23" i="3"/>
  <c r="N23"/>
  <c r="M285"/>
  <c r="N285"/>
  <c r="C240" i="11" s="1"/>
  <c r="E240" s="1"/>
  <c r="M271" i="3"/>
  <c r="N271" s="1"/>
  <c r="C228" i="11" s="1"/>
  <c r="E228" s="1"/>
  <c r="M269" i="3"/>
  <c r="N269" s="1"/>
  <c r="C226" i="11" s="1"/>
  <c r="E226" s="1"/>
  <c r="M264" i="3"/>
  <c r="N264"/>
  <c r="C222" i="11" s="1"/>
  <c r="E222" s="1"/>
  <c r="M257" i="3"/>
  <c r="N257"/>
  <c r="C216" i="11" s="1"/>
  <c r="E216" s="1"/>
  <c r="M255" i="3"/>
  <c r="N255" s="1"/>
  <c r="C214" i="11" s="1"/>
  <c r="E214" s="1"/>
  <c r="M250" i="3"/>
  <c r="N250" s="1"/>
  <c r="C210" i="11" s="1"/>
  <c r="E210" s="1"/>
  <c r="M243" i="3"/>
  <c r="N243" s="1"/>
  <c r="C204" i="11" s="1"/>
  <c r="E204" s="1"/>
  <c r="M241" i="3"/>
  <c r="N241"/>
  <c r="M53"/>
  <c r="N53" s="1"/>
  <c r="C41" i="11" s="1"/>
  <c r="E41" s="1"/>
  <c r="M65" i="3"/>
  <c r="N65" s="1"/>
  <c r="C51" i="11" s="1"/>
  <c r="E51" s="1"/>
  <c r="M67" i="3"/>
  <c r="N67" s="1"/>
  <c r="C53" i="11" s="1"/>
  <c r="E53" s="1"/>
  <c r="M78" i="3"/>
  <c r="N78" s="1"/>
  <c r="C62" i="11" s="1"/>
  <c r="M81" i="3"/>
  <c r="N81" s="1"/>
  <c r="C65" i="11" s="1"/>
  <c r="E65" s="1"/>
  <c r="M83" i="3"/>
  <c r="N83" s="1"/>
  <c r="C67" i="11" s="1"/>
  <c r="E67" s="1"/>
  <c r="M107" i="3"/>
  <c r="N107" s="1"/>
  <c r="C87" i="11" s="1"/>
  <c r="E87" s="1"/>
  <c r="M109" i="3"/>
  <c r="N109" s="1"/>
  <c r="C89" i="11" s="1"/>
  <c r="E89" s="1"/>
  <c r="M120" i="3"/>
  <c r="N120" s="1"/>
  <c r="C98" i="11" s="1"/>
  <c r="E98" s="1"/>
  <c r="M123" i="3"/>
  <c r="N123" s="1"/>
  <c r="C101" i="11" s="1"/>
  <c r="E101" s="1"/>
  <c r="M125" i="3"/>
  <c r="N125" s="1"/>
  <c r="C103" i="11" s="1"/>
  <c r="E103" s="1"/>
  <c r="M135" i="3"/>
  <c r="N135" s="1"/>
  <c r="C111" i="11" s="1"/>
  <c r="E111" s="1"/>
  <c r="M137" i="3"/>
  <c r="N137" s="1"/>
  <c r="C113" i="11" s="1"/>
  <c r="E113" s="1"/>
  <c r="M148" i="3"/>
  <c r="N148" s="1"/>
  <c r="M151"/>
  <c r="N151" s="1"/>
  <c r="C125" i="11" s="1"/>
  <c r="E125" s="1"/>
  <c r="M153" i="3"/>
  <c r="N153" s="1"/>
  <c r="C127" i="11" s="1"/>
  <c r="E127" s="1"/>
  <c r="M163" i="3"/>
  <c r="N163" s="1"/>
  <c r="C135" i="11" s="1"/>
  <c r="E135" s="1"/>
  <c r="M165" i="3"/>
  <c r="N165" s="1"/>
  <c r="C137" i="11" s="1"/>
  <c r="E137" s="1"/>
  <c r="M176" i="3"/>
  <c r="N176" s="1"/>
  <c r="C146" i="11" s="1"/>
  <c r="E146" s="1"/>
  <c r="M181" i="3"/>
  <c r="N181" s="1"/>
  <c r="C151" i="11" s="1"/>
  <c r="E151" s="1"/>
  <c r="M191" i="3"/>
  <c r="N191" s="1"/>
  <c r="C159" i="11" s="1"/>
  <c r="E159" s="1"/>
  <c r="M204" i="3"/>
  <c r="M208"/>
  <c r="N208" s="1"/>
  <c r="C174" i="11" s="1"/>
  <c r="E174" s="1"/>
  <c r="M218" i="3"/>
  <c r="N218" s="1"/>
  <c r="M221"/>
  <c r="N221" s="1"/>
  <c r="C185" i="11"/>
  <c r="E185" s="1"/>
  <c r="M223" i="3"/>
  <c r="N223" s="1"/>
  <c r="C187" i="11"/>
  <c r="E187" s="1"/>
  <c r="M233" i="3"/>
  <c r="N233" s="1"/>
  <c r="C195" i="11"/>
  <c r="E195" s="1"/>
  <c r="M235" i="3"/>
  <c r="N235" s="1"/>
  <c r="C197" i="11"/>
  <c r="E197" s="1"/>
  <c r="M237" i="3"/>
  <c r="N237" s="1"/>
  <c r="C199" i="11"/>
  <c r="E199" s="1"/>
  <c r="M286" i="3"/>
  <c r="N286" s="1"/>
  <c r="C241" i="11"/>
  <c r="E241" s="1"/>
  <c r="M282" i="3"/>
  <c r="M284"/>
  <c r="N284" s="1"/>
  <c r="C239" i="11" s="1"/>
  <c r="E239" s="1"/>
  <c r="M274" i="3"/>
  <c r="N274"/>
  <c r="C230" i="11" s="1"/>
  <c r="E230" s="1"/>
  <c r="M278" i="3"/>
  <c r="N278"/>
  <c r="C234" i="11" s="1"/>
  <c r="E234" s="1"/>
  <c r="M276" i="3"/>
  <c r="N276" s="1"/>
  <c r="C232" i="11" s="1"/>
  <c r="E232" s="1"/>
  <c r="E238"/>
  <c r="N282" i="3"/>
  <c r="C237" i="11" s="1"/>
  <c r="E237" s="1"/>
  <c r="O173" i="3"/>
  <c r="A170" s="1"/>
  <c r="N85"/>
  <c r="C68" i="11" s="1"/>
  <c r="E68" s="1"/>
  <c r="M17" i="3"/>
  <c r="N17"/>
  <c r="C10" i="11" s="1"/>
  <c r="E10" s="1"/>
  <c r="M16" i="3"/>
  <c r="N16" s="1"/>
  <c r="C9" i="11" s="1"/>
  <c r="E9" s="1"/>
  <c r="B48" i="5"/>
  <c r="B48" i="8"/>
  <c r="F47" i="4"/>
  <c r="F44"/>
  <c r="F47" i="5"/>
  <c r="F49" i="6"/>
  <c r="F47"/>
  <c r="F45"/>
  <c r="F45" i="8"/>
  <c r="F49"/>
  <c r="F47"/>
  <c r="F45" i="11"/>
  <c r="F49"/>
  <c r="B27" i="8"/>
  <c r="E4" i="9"/>
  <c r="F14" i="4"/>
  <c r="F18" i="5"/>
  <c r="F14"/>
  <c r="F17" i="8"/>
  <c r="F14"/>
  <c r="E4" i="10"/>
  <c r="F16" i="11"/>
  <c r="B10" i="7"/>
  <c r="D1" i="3"/>
  <c r="F8" i="4"/>
  <c r="F12" i="5"/>
  <c r="F10"/>
  <c r="F13" i="7"/>
  <c r="F13" i="6"/>
  <c r="F10"/>
  <c r="F12" i="8"/>
  <c r="F11"/>
  <c r="F9" i="11"/>
  <c r="F13"/>
  <c r="B5" i="4"/>
  <c r="B5" i="7"/>
  <c r="B5" i="6"/>
  <c r="B5" i="8"/>
  <c r="B4" i="4"/>
  <c r="B4" i="5"/>
  <c r="B4" i="7"/>
  <c r="B4" i="8"/>
  <c r="B66" i="5"/>
  <c r="B65"/>
  <c r="B65" i="6"/>
  <c r="B63" i="7"/>
  <c r="B62" i="5"/>
  <c r="B62" i="7"/>
  <c r="B62" i="6"/>
  <c r="B62" i="8"/>
  <c r="F64" i="4"/>
  <c r="F62"/>
  <c r="F62" i="5"/>
  <c r="F62" i="7"/>
  <c r="F67" i="6"/>
  <c r="F66"/>
  <c r="F65"/>
  <c r="F64"/>
  <c r="F63"/>
  <c r="F67" i="8"/>
  <c r="F66"/>
  <c r="F62" i="11"/>
  <c r="F64"/>
  <c r="F66"/>
  <c r="B61" i="5"/>
  <c r="B61" i="7"/>
  <c r="B61" i="6"/>
  <c r="B61" i="8"/>
  <c r="B60" i="7"/>
  <c r="B59" i="4"/>
  <c r="B59" i="5"/>
  <c r="B59" i="6"/>
  <c r="B59" i="8"/>
  <c r="B58" i="6"/>
  <c r="L1" i="3"/>
  <c r="F58" i="4"/>
  <c r="F60"/>
  <c r="F61"/>
  <c r="F59"/>
  <c r="F57"/>
  <c r="F56"/>
  <c r="F56" i="5"/>
  <c r="F56" i="6"/>
  <c r="F56" i="8"/>
  <c r="F56" i="11"/>
  <c r="F58"/>
  <c r="F60"/>
  <c r="E11" i="9"/>
  <c r="B55" i="7"/>
  <c r="B55" i="6"/>
  <c r="B55" i="8"/>
  <c r="B54" i="5"/>
  <c r="B54" i="7"/>
  <c r="B51" i="5"/>
  <c r="B51" i="6"/>
  <c r="B51" i="8"/>
  <c r="B30" i="4"/>
  <c r="B30" i="5"/>
  <c r="B30" i="7"/>
  <c r="B30" i="8"/>
  <c r="B28" i="4"/>
  <c r="B28" i="6"/>
  <c r="B27"/>
  <c r="F4" i="11"/>
  <c r="B32" i="8"/>
  <c r="B32" i="7"/>
  <c r="B32" i="6"/>
  <c r="B37" i="8"/>
  <c r="B37" i="7"/>
  <c r="B37" i="5"/>
  <c r="B40" i="4"/>
  <c r="B40" i="5"/>
  <c r="B40" i="7"/>
  <c r="B39" i="4"/>
  <c r="B39" i="6"/>
  <c r="B39" i="8"/>
  <c r="F6" i="4"/>
  <c r="B48" i="6"/>
  <c r="B48" i="7"/>
  <c r="B46" i="4"/>
  <c r="B46" i="5"/>
  <c r="B46" i="6"/>
  <c r="B46" i="8"/>
  <c r="B45"/>
  <c r="F47" i="11"/>
  <c r="E9" i="10"/>
  <c r="F48" i="8"/>
  <c r="F46"/>
  <c r="F44"/>
  <c r="F46" i="6"/>
  <c r="F48"/>
  <c r="F45" i="5"/>
  <c r="F49"/>
  <c r="F49" i="4"/>
  <c r="F48"/>
  <c r="F46"/>
  <c r="F44" i="5"/>
  <c r="F48"/>
  <c r="F44" i="6"/>
  <c r="F44" i="11"/>
  <c r="F48"/>
  <c r="E9" i="9"/>
  <c r="B25" i="7"/>
  <c r="B24"/>
  <c r="B24" i="6"/>
  <c r="B24" i="8"/>
  <c r="F3" i="7"/>
  <c r="F6" i="11"/>
  <c r="F6" i="6"/>
  <c r="F1" i="3"/>
  <c r="F22" i="4"/>
  <c r="F21"/>
  <c r="F24"/>
  <c r="F20"/>
  <c r="F20" i="5"/>
  <c r="F25" i="7"/>
  <c r="F23"/>
  <c r="F21"/>
  <c r="F20"/>
  <c r="F20" i="6"/>
  <c r="F21" i="8"/>
  <c r="F21" i="11"/>
  <c r="F23"/>
  <c r="F25"/>
  <c r="B9" i="4"/>
  <c r="B9" i="8"/>
  <c r="B10"/>
  <c r="B10" i="4"/>
  <c r="B10" i="5"/>
  <c r="B10" i="6"/>
  <c r="B11" i="7"/>
  <c r="B11" i="6"/>
  <c r="B11" i="8"/>
  <c r="B12" i="4"/>
  <c r="B12" i="5"/>
  <c r="B12" i="8"/>
  <c r="B13"/>
  <c r="B13" i="7"/>
  <c r="B18" i="5"/>
  <c r="F7" i="11"/>
  <c r="F2" i="6"/>
  <c r="F6" i="7"/>
  <c r="F5" i="6"/>
  <c r="F7" i="5"/>
  <c r="F18" i="11"/>
  <c r="F14"/>
  <c r="F18" i="8"/>
  <c r="F15"/>
  <c r="F15" i="7"/>
  <c r="F16"/>
  <c r="F17"/>
  <c r="F18"/>
  <c r="F19"/>
  <c r="F16" i="5"/>
  <c r="F16" i="4"/>
  <c r="F17"/>
  <c r="F4" i="5"/>
  <c r="F19" i="4"/>
  <c r="F17" i="5"/>
  <c r="F14" i="7"/>
  <c r="F19" i="8"/>
  <c r="F17" i="11"/>
  <c r="B2" i="8"/>
  <c r="F5" i="11"/>
  <c r="F3" i="8"/>
  <c r="F2" i="11"/>
  <c r="F2" i="5"/>
  <c r="F5" i="4"/>
  <c r="F4" i="6"/>
  <c r="F7" i="4"/>
  <c r="F3"/>
  <c r="E25" i="8"/>
  <c r="M50" i="3"/>
  <c r="N50" s="1"/>
  <c r="M41"/>
  <c r="N41" s="1"/>
  <c r="C31" i="11" s="1"/>
  <c r="E31" s="1"/>
  <c r="M40" i="3"/>
  <c r="N40" s="1"/>
  <c r="C30" i="11" s="1"/>
  <c r="E30" s="1"/>
  <c r="M36" i="3"/>
  <c r="N36"/>
  <c r="E62" i="11"/>
  <c r="M30" i="3"/>
  <c r="N30" s="1"/>
  <c r="C21" i="11" s="1"/>
  <c r="E21" s="1"/>
  <c r="K188" i="7"/>
  <c r="L188" s="1"/>
  <c r="J188" s="1"/>
  <c r="K23"/>
  <c r="L23" s="1"/>
  <c r="K33"/>
  <c r="L33" s="1"/>
  <c r="M33" s="1"/>
  <c r="K115"/>
  <c r="L115" s="1"/>
  <c r="M115" s="1"/>
  <c r="K116"/>
  <c r="L116" s="1"/>
  <c r="J116" s="1"/>
  <c r="K211"/>
  <c r="L211" s="1"/>
  <c r="M211" s="1"/>
  <c r="K177"/>
  <c r="L177" s="1"/>
  <c r="K103"/>
  <c r="L103" s="1"/>
  <c r="J103" s="1"/>
  <c r="K216"/>
  <c r="L216" s="1"/>
  <c r="M216" s="1"/>
  <c r="C155" i="11"/>
  <c r="E155" s="1"/>
  <c r="B32" i="4"/>
  <c r="B63" i="8"/>
  <c r="A184" i="3"/>
  <c r="C176" i="11"/>
  <c r="E176" s="1"/>
  <c r="B52" i="4"/>
  <c r="B165" i="5"/>
  <c r="B34"/>
  <c r="B213"/>
  <c r="B150" i="7"/>
  <c r="B225"/>
  <c r="E188" i="4"/>
  <c r="E176"/>
  <c r="E164"/>
  <c r="E152"/>
  <c r="E140"/>
  <c r="E128"/>
  <c r="E116"/>
  <c r="E104"/>
  <c r="E92"/>
  <c r="E80"/>
  <c r="B63" i="5"/>
  <c r="B84"/>
  <c r="B237"/>
  <c r="B142" i="7"/>
  <c r="B190" i="6"/>
  <c r="E187" i="4"/>
  <c r="E175"/>
  <c r="E163"/>
  <c r="E151"/>
  <c r="E139"/>
  <c r="E127"/>
  <c r="E115"/>
  <c r="E103"/>
  <c r="E91"/>
  <c r="E79"/>
  <c r="B225" i="8"/>
  <c r="M236" i="3"/>
  <c r="N236" s="1"/>
  <c r="C198" i="11" s="1"/>
  <c r="E198" s="1"/>
  <c r="M222" i="3"/>
  <c r="M219"/>
  <c r="N219" s="1"/>
  <c r="M177"/>
  <c r="N177" s="1"/>
  <c r="C147" i="11" s="1"/>
  <c r="E147" s="1"/>
  <c r="M149" i="3"/>
  <c r="N149" s="1"/>
  <c r="C123" i="11" s="1"/>
  <c r="E123" s="1"/>
  <c r="M121" i="3"/>
  <c r="N121" s="1"/>
  <c r="C99" i="11" s="1"/>
  <c r="E99" s="1"/>
  <c r="M96" i="3"/>
  <c r="M93"/>
  <c r="N93" s="1"/>
  <c r="C75" i="11" s="1"/>
  <c r="E75" s="1"/>
  <c r="B45" i="5"/>
  <c r="B213" i="7"/>
  <c r="B213" i="6"/>
  <c r="B80" i="8"/>
  <c r="B84"/>
  <c r="B190"/>
  <c r="N258" i="3"/>
  <c r="C217" i="11" s="1"/>
  <c r="E217" s="1"/>
  <c r="M8" i="3"/>
  <c r="B190" i="4"/>
  <c r="B181" i="7"/>
  <c r="E192" i="4"/>
  <c r="E180"/>
  <c r="E168"/>
  <c r="E156"/>
  <c r="E144"/>
  <c r="E132"/>
  <c r="E120"/>
  <c r="E108"/>
  <c r="E96"/>
  <c r="E84"/>
  <c r="B6" i="8"/>
  <c r="B45" i="4"/>
  <c r="B157"/>
  <c r="B34"/>
  <c r="B157" i="6"/>
  <c r="B45"/>
  <c r="B34"/>
  <c r="B237"/>
  <c r="E197" i="4"/>
  <c r="E185"/>
  <c r="E173"/>
  <c r="E161"/>
  <c r="E77"/>
  <c r="B157" i="8"/>
  <c r="G200"/>
  <c r="G176"/>
  <c r="B80" i="4"/>
  <c r="B150" i="5"/>
  <c r="B142"/>
  <c r="B190"/>
  <c r="B157" i="7"/>
  <c r="B165"/>
  <c r="B80"/>
  <c r="B52"/>
  <c r="B45"/>
  <c r="B6"/>
  <c r="B181" i="6"/>
  <c r="E191" i="4"/>
  <c r="E179"/>
  <c r="E167"/>
  <c r="E155"/>
  <c r="E143"/>
  <c r="E131"/>
  <c r="E119"/>
  <c r="E107"/>
  <c r="E95"/>
  <c r="E92" i="8"/>
  <c r="M232" i="3"/>
  <c r="M207"/>
  <c r="N207" s="1"/>
  <c r="C173" i="11" s="1"/>
  <c r="E173" s="1"/>
  <c r="B25" i="10"/>
  <c r="D25" s="1"/>
  <c r="B213" i="4"/>
  <c r="B165"/>
  <c r="B52" i="5"/>
  <c r="B6"/>
  <c r="B190" i="7"/>
  <c r="B150" i="6"/>
  <c r="B165"/>
  <c r="B237" i="8"/>
  <c r="G212"/>
  <c r="B150" i="4"/>
  <c r="E196"/>
  <c r="E184"/>
  <c r="E172"/>
  <c r="E160"/>
  <c r="E148"/>
  <c r="E136"/>
  <c r="E124"/>
  <c r="E112"/>
  <c r="E100"/>
  <c r="E88"/>
  <c r="E76"/>
  <c r="B225"/>
  <c r="B6"/>
  <c r="B78"/>
  <c r="B142"/>
  <c r="B80" i="5"/>
  <c r="B78" i="6"/>
  <c r="E189" i="4"/>
  <c r="E177"/>
  <c r="E165"/>
  <c r="E153"/>
  <c r="E141"/>
  <c r="E129"/>
  <c r="E117"/>
  <c r="E105"/>
  <c r="E93"/>
  <c r="B78" i="8"/>
  <c r="B181"/>
  <c r="B213"/>
  <c r="G224"/>
  <c r="N244" i="3"/>
  <c r="C205" i="11" s="1"/>
  <c r="E205" s="1"/>
  <c r="B84" i="4"/>
  <c r="B62"/>
  <c r="B157" i="5"/>
  <c r="B32"/>
  <c r="B225"/>
  <c r="B84" i="7"/>
  <c r="B237"/>
  <c r="B80" i="6"/>
  <c r="E241" i="4"/>
  <c r="E195"/>
  <c r="E183"/>
  <c r="E171"/>
  <c r="E159"/>
  <c r="E147"/>
  <c r="E135"/>
  <c r="E123"/>
  <c r="E111"/>
  <c r="E99"/>
  <c r="E87"/>
  <c r="E75"/>
  <c r="M220" i="3"/>
  <c r="M195"/>
  <c r="N195" s="1"/>
  <c r="C163" i="11" s="1"/>
  <c r="E163" s="1"/>
  <c r="M139" i="3"/>
  <c r="N139" s="1"/>
  <c r="C115" i="11" s="1"/>
  <c r="E115" s="1"/>
  <c r="M97" i="3"/>
  <c r="N97" s="1"/>
  <c r="C79" i="11" s="1"/>
  <c r="E79" s="1"/>
  <c r="B78" i="5"/>
  <c r="B34" i="7"/>
  <c r="B142" i="6"/>
  <c r="B84"/>
  <c r="B52"/>
  <c r="G239" i="4"/>
  <c r="G236" i="8"/>
  <c r="G188"/>
  <c r="M116" i="7"/>
  <c r="C219" i="11"/>
  <c r="E219"/>
  <c r="C80"/>
  <c r="E80" s="1"/>
  <c r="G198" i="4"/>
  <c r="E198"/>
  <c r="G194"/>
  <c r="E194"/>
  <c r="G190"/>
  <c r="E190"/>
  <c r="G186"/>
  <c r="E186"/>
  <c r="G182"/>
  <c r="E182"/>
  <c r="G178"/>
  <c r="E178"/>
  <c r="G174"/>
  <c r="E174"/>
  <c r="G170"/>
  <c r="E170"/>
  <c r="G166"/>
  <c r="E166"/>
  <c r="G162"/>
  <c r="E162"/>
  <c r="G158"/>
  <c r="E158"/>
  <c r="G154"/>
  <c r="E154"/>
  <c r="G150"/>
  <c r="E150"/>
  <c r="G146"/>
  <c r="E146"/>
  <c r="G142"/>
  <c r="E142"/>
  <c r="G138"/>
  <c r="E138"/>
  <c r="G134"/>
  <c r="E134"/>
  <c r="G130"/>
  <c r="E130"/>
  <c r="G126"/>
  <c r="E126"/>
  <c r="G122"/>
  <c r="E122"/>
  <c r="G118"/>
  <c r="E118"/>
  <c r="G114"/>
  <c r="E114"/>
  <c r="G110"/>
  <c r="E110"/>
  <c r="G106"/>
  <c r="E106"/>
  <c r="G102"/>
  <c r="E102"/>
  <c r="G98"/>
  <c r="E98"/>
  <c r="G94"/>
  <c r="E94"/>
  <c r="G90"/>
  <c r="E90"/>
  <c r="G86"/>
  <c r="E86"/>
  <c r="G82"/>
  <c r="E82"/>
  <c r="G78"/>
  <c r="E78"/>
  <c r="G74"/>
  <c r="E74"/>
  <c r="G26" i="8"/>
  <c r="E26" s="1"/>
  <c r="G80"/>
  <c r="E80"/>
  <c r="G88"/>
  <c r="E88"/>
  <c r="G96"/>
  <c r="E96"/>
  <c r="G104"/>
  <c r="E104"/>
  <c r="G112"/>
  <c r="E112"/>
  <c r="G116"/>
  <c r="E116"/>
  <c r="G120"/>
  <c r="E120"/>
  <c r="G124"/>
  <c r="E124"/>
  <c r="G128"/>
  <c r="E128"/>
  <c r="G132"/>
  <c r="E132"/>
  <c r="G136"/>
  <c r="E136"/>
  <c r="G140"/>
  <c r="E140"/>
  <c r="G144"/>
  <c r="E144"/>
  <c r="G148"/>
  <c r="E148"/>
  <c r="G152"/>
  <c r="E152"/>
  <c r="G156"/>
  <c r="E156"/>
  <c r="G160"/>
  <c r="E160"/>
  <c r="G164"/>
  <c r="E164"/>
  <c r="G206" i="4"/>
  <c r="E206"/>
  <c r="B203" i="11"/>
  <c r="B203" i="8"/>
  <c r="B7" i="11"/>
  <c r="B7" i="8"/>
  <c r="B208" i="11"/>
  <c r="B208" i="8"/>
  <c r="B210" i="11"/>
  <c r="B210" i="8"/>
  <c r="B212" i="11"/>
  <c r="B212" i="8"/>
  <c r="O201" i="3"/>
  <c r="B15" i="10"/>
  <c r="D15" s="1"/>
  <c r="O117" i="3"/>
  <c r="B17" i="10" s="1"/>
  <c r="D17" s="1"/>
  <c r="G240" i="4"/>
  <c r="G238"/>
  <c r="E237"/>
  <c r="E200"/>
  <c r="E162" i="8"/>
  <c r="E154"/>
  <c r="E146"/>
  <c r="E138"/>
  <c r="E130"/>
  <c r="E122"/>
  <c r="E114"/>
  <c r="E100"/>
  <c r="E84"/>
  <c r="B33"/>
  <c r="B29"/>
  <c r="B44"/>
  <c r="B54"/>
  <c r="B41"/>
  <c r="B36"/>
  <c r="B15"/>
  <c r="B100"/>
  <c r="B106"/>
  <c r="B64"/>
  <c r="B107"/>
  <c r="B120"/>
  <c r="B102"/>
  <c r="B111"/>
  <c r="B131"/>
  <c r="B132"/>
  <c r="B115"/>
  <c r="B135"/>
  <c r="B31"/>
  <c r="B136"/>
  <c r="B137"/>
  <c r="B139"/>
  <c r="B140"/>
  <c r="B60"/>
  <c r="B144"/>
  <c r="B143"/>
  <c r="B146"/>
  <c r="B142"/>
  <c r="B150"/>
  <c r="B93"/>
  <c r="B134"/>
  <c r="B153"/>
  <c r="B155"/>
  <c r="B71"/>
  <c r="B156"/>
  <c r="B35"/>
  <c r="B176"/>
  <c r="B25"/>
  <c r="B72"/>
  <c r="B178"/>
  <c r="B175"/>
  <c r="B149"/>
  <c r="B199"/>
  <c r="B220"/>
  <c r="B222"/>
  <c r="B224"/>
  <c r="B232"/>
  <c r="B234"/>
  <c r="B236"/>
  <c r="B238"/>
  <c r="B240"/>
  <c r="F10" i="11"/>
  <c r="F32"/>
  <c r="F36"/>
  <c r="F61"/>
  <c r="F68"/>
  <c r="F72"/>
  <c r="M268" i="3"/>
  <c r="M270"/>
  <c r="N270" s="1"/>
  <c r="C227" i="11" s="1"/>
  <c r="E227" s="1"/>
  <c r="M272" i="3"/>
  <c r="N272" s="1"/>
  <c r="C229" i="11" s="1"/>
  <c r="E229" s="1"/>
  <c r="N220" i="3"/>
  <c r="C184" i="11" s="1"/>
  <c r="E184" s="1"/>
  <c r="N96" i="3"/>
  <c r="C78" i="11" s="1"/>
  <c r="E78" s="1"/>
  <c r="M94" i="3"/>
  <c r="J33" i="7"/>
  <c r="C182" i="11"/>
  <c r="E182" s="1"/>
  <c r="C93"/>
  <c r="E93" s="1"/>
  <c r="O118" i="3"/>
  <c r="C105" i="11"/>
  <c r="E105" s="1"/>
  <c r="O132" i="3"/>
  <c r="M188" i="7"/>
  <c r="C202" i="11"/>
  <c r="E202" s="1"/>
  <c r="C116"/>
  <c r="E116"/>
  <c r="C140"/>
  <c r="E140" s="1"/>
  <c r="C164"/>
  <c r="E164" s="1"/>
  <c r="O202" i="3"/>
  <c r="O230"/>
  <c r="C128" i="11"/>
  <c r="E128"/>
  <c r="O160" i="3"/>
  <c r="C122" i="11"/>
  <c r="E122" s="1"/>
  <c r="N204" i="3"/>
  <c r="B31" i="10"/>
  <c r="D31" s="1"/>
  <c r="G229" i="4"/>
  <c r="G227"/>
  <c r="G225"/>
  <c r="G217"/>
  <c r="G215"/>
  <c r="G213"/>
  <c r="G205"/>
  <c r="G203"/>
  <c r="G201"/>
  <c r="E110" i="8"/>
  <c r="E106"/>
  <c r="E102"/>
  <c r="E98"/>
  <c r="E94"/>
  <c r="E90"/>
  <c r="E86"/>
  <c r="E82"/>
  <c r="E78"/>
  <c r="E74"/>
  <c r="E64"/>
  <c r="E56"/>
  <c r="E52"/>
  <c r="E22"/>
  <c r="E12"/>
  <c r="G16"/>
  <c r="E16" s="1"/>
  <c r="G34"/>
  <c r="E34" s="1"/>
  <c r="G54"/>
  <c r="E54" s="1"/>
  <c r="E8"/>
  <c r="E42"/>
  <c r="E40"/>
  <c r="E48"/>
  <c r="E46"/>
  <c r="E66"/>
  <c r="E68"/>
  <c r="E72"/>
  <c r="M194" i="3"/>
  <c r="N194" s="1"/>
  <c r="C162" i="11" s="1"/>
  <c r="E162" s="1"/>
  <c r="M192" i="3"/>
  <c r="N192" s="1"/>
  <c r="C160" i="11" s="1"/>
  <c r="E160" s="1"/>
  <c r="M190" i="3"/>
  <c r="M180"/>
  <c r="N180" s="1"/>
  <c r="C150" i="11" s="1"/>
  <c r="E150" s="1"/>
  <c r="M178" i="3"/>
  <c r="M166"/>
  <c r="N166"/>
  <c r="C138" i="11" s="1"/>
  <c r="E138" s="1"/>
  <c r="M164" i="3"/>
  <c r="N164"/>
  <c r="C136" i="11" s="1"/>
  <c r="E136" s="1"/>
  <c r="M162" i="3"/>
  <c r="M152"/>
  <c r="N152" s="1"/>
  <c r="C126" i="11" s="1"/>
  <c r="E126" s="1"/>
  <c r="M150" i="3"/>
  <c r="N150" s="1"/>
  <c r="C124" i="11" s="1"/>
  <c r="E124" s="1"/>
  <c r="M138" i="3"/>
  <c r="N138" s="1"/>
  <c r="C114" i="11" s="1"/>
  <c r="E114" s="1"/>
  <c r="M136" i="3"/>
  <c r="N136" s="1"/>
  <c r="C112" i="11" s="1"/>
  <c r="E112" s="1"/>
  <c r="M134" i="3"/>
  <c r="M124"/>
  <c r="N124"/>
  <c r="C102" i="11" s="1"/>
  <c r="E102" s="1"/>
  <c r="M122" i="3"/>
  <c r="M110"/>
  <c r="N110" s="1"/>
  <c r="C90" i="11" s="1"/>
  <c r="E90" s="1"/>
  <c r="M108" i="3"/>
  <c r="N108" s="1"/>
  <c r="C88" i="11" s="1"/>
  <c r="E88" s="1"/>
  <c r="M106" i="3"/>
  <c r="M80"/>
  <c r="N80"/>
  <c r="C64" i="11" s="1"/>
  <c r="E64" s="1"/>
  <c r="M79" i="3"/>
  <c r="N79"/>
  <c r="E5" i="8"/>
  <c r="E9"/>
  <c r="E17"/>
  <c r="E15"/>
  <c r="E23"/>
  <c r="E31"/>
  <c r="E37"/>
  <c r="E33"/>
  <c r="E39"/>
  <c r="E49"/>
  <c r="E47"/>
  <c r="E55"/>
  <c r="E51"/>
  <c r="E61"/>
  <c r="E65"/>
  <c r="E73"/>
  <c r="E7" i="10"/>
  <c r="E11"/>
  <c r="E3"/>
  <c r="F20" i="11"/>
  <c r="F24"/>
  <c r="F33"/>
  <c r="F35"/>
  <c r="F37"/>
  <c r="F59"/>
  <c r="F69"/>
  <c r="F71"/>
  <c r="F73"/>
  <c r="M10" i="3"/>
  <c r="N10"/>
  <c r="C4" i="11" s="1"/>
  <c r="E4" s="1"/>
  <c r="E5" i="9"/>
  <c r="M66" i="3"/>
  <c r="M55"/>
  <c r="N55"/>
  <c r="C43" i="11" s="1"/>
  <c r="E43" s="1"/>
  <c r="M54" i="3"/>
  <c r="M51"/>
  <c r="N51" s="1"/>
  <c r="C39" i="11" s="1"/>
  <c r="E39" s="1"/>
  <c r="M47" i="3"/>
  <c r="M39"/>
  <c r="N39" s="1"/>
  <c r="C29" i="11" s="1"/>
  <c r="E29" s="1"/>
  <c r="N47" i="3"/>
  <c r="C36" i="11" s="1"/>
  <c r="E36" s="1"/>
  <c r="N66" i="3"/>
  <c r="C52" i="11" s="1"/>
  <c r="E52" s="1"/>
  <c r="E13" i="8"/>
  <c r="N11" i="3"/>
  <c r="C5" i="11" s="1"/>
  <c r="E5" s="1"/>
  <c r="M48" i="3"/>
  <c r="N48" s="1"/>
  <c r="C37" i="11" s="1"/>
  <c r="E37" s="1"/>
  <c r="M46" i="3"/>
  <c r="N46" s="1"/>
  <c r="C35" i="11" s="1"/>
  <c r="E35" s="1"/>
  <c r="M45" i="3"/>
  <c r="N45" s="1"/>
  <c r="C34" i="11" s="1"/>
  <c r="E34" s="1"/>
  <c r="M44" i="3"/>
  <c r="M62"/>
  <c r="N62" s="1"/>
  <c r="C49" i="11" s="1"/>
  <c r="E49" s="1"/>
  <c r="M61" i="3"/>
  <c r="N61" s="1"/>
  <c r="C48" i="11" s="1"/>
  <c r="E48" s="1"/>
  <c r="M60" i="3"/>
  <c r="N60" s="1"/>
  <c r="C47" i="11" s="1"/>
  <c r="E47" s="1"/>
  <c r="M59" i="3"/>
  <c r="N59" s="1"/>
  <c r="C46" i="11" s="1"/>
  <c r="E46" s="1"/>
  <c r="M58" i="3"/>
  <c r="M57"/>
  <c r="N57" s="1"/>
  <c r="C44" i="11" s="1"/>
  <c r="E44" s="1"/>
  <c r="M90" i="3"/>
  <c r="M76"/>
  <c r="N76"/>
  <c r="C61" i="11" s="1"/>
  <c r="E61" s="1"/>
  <c r="M82" i="3"/>
  <c r="O82"/>
  <c r="M33"/>
  <c r="N33"/>
  <c r="C24" i="11" s="1"/>
  <c r="E24" s="1"/>
  <c r="M31" i="3"/>
  <c r="N31"/>
  <c r="C22" i="11" s="1"/>
  <c r="E22" s="1"/>
  <c r="M38" i="3"/>
  <c r="N38"/>
  <c r="C28" i="11" s="1"/>
  <c r="E28" s="1"/>
  <c r="M37" i="3"/>
  <c r="N37"/>
  <c r="C26" i="11"/>
  <c r="E26"/>
  <c r="M73" i="3"/>
  <c r="N73"/>
  <c r="C58" i="11" s="1"/>
  <c r="E58" s="1"/>
  <c r="M71" i="3"/>
  <c r="N71"/>
  <c r="M15"/>
  <c r="K199" i="6"/>
  <c r="L199" s="1"/>
  <c r="K38"/>
  <c r="L38" s="1"/>
  <c r="M38" s="1"/>
  <c r="K109"/>
  <c r="L109" s="1"/>
  <c r="J109" s="1"/>
  <c r="K119"/>
  <c r="L119" s="1"/>
  <c r="K175"/>
  <c r="L175" s="1"/>
  <c r="J175" s="1"/>
  <c r="K178"/>
  <c r="L178" s="1"/>
  <c r="J178" s="1"/>
  <c r="K66"/>
  <c r="L66" s="1"/>
  <c r="M66" s="1"/>
  <c r="K104"/>
  <c r="L104" s="1"/>
  <c r="K148"/>
  <c r="L148" s="1"/>
  <c r="J148" s="1"/>
  <c r="K198"/>
  <c r="L198" s="1"/>
  <c r="M198" s="1"/>
  <c r="K75"/>
  <c r="L75" s="1"/>
  <c r="J75" s="1"/>
  <c r="K239"/>
  <c r="L239" s="1"/>
  <c r="M239" s="1"/>
  <c r="K77"/>
  <c r="L77" s="1"/>
  <c r="K218"/>
  <c r="L218" s="1"/>
  <c r="M218" s="1"/>
  <c r="K173"/>
  <c r="L173" s="1"/>
  <c r="M173" s="1"/>
  <c r="K103"/>
  <c r="L103" s="1"/>
  <c r="K51"/>
  <c r="L51" s="1"/>
  <c r="K4"/>
  <c r="L4" s="1"/>
  <c r="M4" s="1"/>
  <c r="K238"/>
  <c r="L238" s="1"/>
  <c r="J238" s="1"/>
  <c r="K84"/>
  <c r="L84" s="1"/>
  <c r="M84" s="1"/>
  <c r="K135"/>
  <c r="L135" s="1"/>
  <c r="M135" s="1"/>
  <c r="K54"/>
  <c r="L54" s="1"/>
  <c r="K118"/>
  <c r="L118" s="1"/>
  <c r="K217"/>
  <c r="L217" s="1"/>
  <c r="M217" s="1"/>
  <c r="K117"/>
  <c r="L117" s="1"/>
  <c r="K134"/>
  <c r="L134" s="1"/>
  <c r="M134" s="1"/>
  <c r="K69"/>
  <c r="L69" s="1"/>
  <c r="M69" s="1"/>
  <c r="K124"/>
  <c r="L124" s="1"/>
  <c r="K70"/>
  <c r="L70" s="1"/>
  <c r="J70" s="1"/>
  <c r="K149"/>
  <c r="L149" s="1"/>
  <c r="M149" s="1"/>
  <c r="K188"/>
  <c r="L188" s="1"/>
  <c r="J188" s="1"/>
  <c r="K156"/>
  <c r="L156" s="1"/>
  <c r="K95"/>
  <c r="L95" s="1"/>
  <c r="K208"/>
  <c r="L208" s="1"/>
  <c r="M208" s="1"/>
  <c r="K152"/>
  <c r="L152" s="1"/>
  <c r="J152" s="1"/>
  <c r="K192"/>
  <c r="L192" s="1"/>
  <c r="J192" s="1"/>
  <c r="K141"/>
  <c r="L141" s="1"/>
  <c r="M141" s="1"/>
  <c r="K220"/>
  <c r="L220" s="1"/>
  <c r="J220" s="1"/>
  <c r="K89"/>
  <c r="L89" s="1"/>
  <c r="M89" s="1"/>
  <c r="K240"/>
  <c r="L240" s="1"/>
  <c r="J240" s="1"/>
  <c r="K33"/>
  <c r="L33" s="1"/>
  <c r="J33" s="1"/>
  <c r="K206"/>
  <c r="L206" s="1"/>
  <c r="M206" s="1"/>
  <c r="K18"/>
  <c r="L18" s="1"/>
  <c r="K186"/>
  <c r="L186" s="1"/>
  <c r="K202"/>
  <c r="L202" s="1"/>
  <c r="K62"/>
  <c r="L62" s="1"/>
  <c r="K14"/>
  <c r="L14" s="1"/>
  <c r="K113"/>
  <c r="L113" s="1"/>
  <c r="K3"/>
  <c r="L3" s="1"/>
  <c r="K222"/>
  <c r="L222" s="1"/>
  <c r="K160"/>
  <c r="L160" s="1"/>
  <c r="K92"/>
  <c r="L92" s="1"/>
  <c r="K48"/>
  <c r="L48" s="1"/>
  <c r="K24"/>
  <c r="L24" s="1"/>
  <c r="K49"/>
  <c r="L49" s="1"/>
  <c r="K67"/>
  <c r="L67" s="1"/>
  <c r="K233"/>
  <c r="L233" s="1"/>
  <c r="J233" s="1"/>
  <c r="K13"/>
  <c r="L13" s="1"/>
  <c r="K226"/>
  <c r="L226" s="1"/>
  <c r="K105"/>
  <c r="L105" s="1"/>
  <c r="K19"/>
  <c r="L19" s="1"/>
  <c r="K76"/>
  <c r="L76" s="1"/>
  <c r="M76" s="1"/>
  <c r="K41"/>
  <c r="L41" s="1"/>
  <c r="K74"/>
  <c r="L74" s="1"/>
  <c r="K231"/>
  <c r="L231" s="1"/>
  <c r="M231" s="1"/>
  <c r="K99"/>
  <c r="L99" s="1"/>
  <c r="J99" s="1"/>
  <c r="K71"/>
  <c r="L71" s="1"/>
  <c r="M71" s="1"/>
  <c r="K26"/>
  <c r="L26" s="1"/>
  <c r="J26" s="1"/>
  <c r="K197"/>
  <c r="L197" s="1"/>
  <c r="K87"/>
  <c r="L87" s="1"/>
  <c r="K125"/>
  <c r="L125" s="1"/>
  <c r="J125" s="1"/>
  <c r="K213"/>
  <c r="L213" s="1"/>
  <c r="K57"/>
  <c r="L57" s="1"/>
  <c r="M57" s="1"/>
  <c r="K112"/>
  <c r="L112" s="1"/>
  <c r="M112" s="1"/>
  <c r="K161"/>
  <c r="L161" s="1"/>
  <c r="J161" s="1"/>
  <c r="K139"/>
  <c r="L139" s="1"/>
  <c r="K193"/>
  <c r="L193" s="1"/>
  <c r="J193" s="1"/>
  <c r="K195"/>
  <c r="L195" s="1"/>
  <c r="M195" s="1"/>
  <c r="K116"/>
  <c r="L116" s="1"/>
  <c r="M116" s="1"/>
  <c r="K121"/>
  <c r="L121" s="1"/>
  <c r="K7"/>
  <c r="L7" s="1"/>
  <c r="M7" s="1"/>
  <c r="K142"/>
  <c r="L142" s="1"/>
  <c r="J142" s="1"/>
  <c r="K34"/>
  <c r="L34" s="1"/>
  <c r="J34" s="1"/>
  <c r="K189"/>
  <c r="L189" s="1"/>
  <c r="J189" s="1"/>
  <c r="K37"/>
  <c r="L37" s="1"/>
  <c r="M37" s="1"/>
  <c r="K137"/>
  <c r="L137" s="1"/>
  <c r="M137" s="1"/>
  <c r="K203"/>
  <c r="L203" s="1"/>
  <c r="M203" s="1"/>
  <c r="K169"/>
  <c r="L169" s="1"/>
  <c r="K111"/>
  <c r="L111" s="1"/>
  <c r="K177"/>
  <c r="L177" s="1"/>
  <c r="K93"/>
  <c r="L93" s="1"/>
  <c r="K20"/>
  <c r="L20" s="1"/>
  <c r="K133"/>
  <c r="L133" s="1"/>
  <c r="J133" s="1"/>
  <c r="K225"/>
  <c r="L225" s="1"/>
  <c r="K168"/>
  <c r="L168" s="1"/>
  <c r="K101"/>
  <c r="L101" s="1"/>
  <c r="J101" s="1"/>
  <c r="K237"/>
  <c r="L237" s="1"/>
  <c r="K136"/>
  <c r="L136" s="1"/>
  <c r="K83"/>
  <c r="L83" s="1"/>
  <c r="M83" s="1"/>
  <c r="K107"/>
  <c r="L107" s="1"/>
  <c r="M107" s="1"/>
  <c r="K10"/>
  <c r="L10" s="1"/>
  <c r="J10" s="1"/>
  <c r="K232"/>
  <c r="L232" s="1"/>
  <c r="J232" s="1"/>
  <c r="K53"/>
  <c r="L53" s="1"/>
  <c r="M53" s="1"/>
  <c r="K190"/>
  <c r="L190" s="1"/>
  <c r="J190" s="1"/>
  <c r="K147"/>
  <c r="L147" s="1"/>
  <c r="M147" s="1"/>
  <c r="K44"/>
  <c r="L44"/>
  <c r="J44" s="1"/>
  <c r="K63"/>
  <c r="L63" s="1"/>
  <c r="M63" s="1"/>
  <c r="K58"/>
  <c r="L58" s="1"/>
  <c r="K167"/>
  <c r="L167" s="1"/>
  <c r="J167" s="1"/>
  <c r="K50"/>
  <c r="L50"/>
  <c r="M50" s="1"/>
  <c r="K146"/>
  <c r="L146" s="1"/>
  <c r="J146" s="1"/>
  <c r="K219"/>
  <c r="L219" s="1"/>
  <c r="K126"/>
  <c r="L126" s="1"/>
  <c r="K30"/>
  <c r="L30" s="1"/>
  <c r="J30"/>
  <c r="K21"/>
  <c r="L21"/>
  <c r="M21" s="1"/>
  <c r="K150"/>
  <c r="L150" s="1"/>
  <c r="M150"/>
  <c r="K234"/>
  <c r="L234"/>
  <c r="J234" s="1"/>
  <c r="K191"/>
  <c r="L191" s="1"/>
  <c r="M191"/>
  <c r="K120"/>
  <c r="L120"/>
  <c r="M120" s="1"/>
  <c r="K60"/>
  <c r="L60" s="1"/>
  <c r="M60"/>
  <c r="K36"/>
  <c r="L36" s="1"/>
  <c r="K12"/>
  <c r="L12" s="1"/>
  <c r="K17"/>
  <c r="L17" s="1"/>
  <c r="M17" s="1"/>
  <c r="K211"/>
  <c r="L211" s="1"/>
  <c r="J211" s="1"/>
  <c r="K15"/>
  <c r="L15" s="1"/>
  <c r="K42"/>
  <c r="L42" s="1"/>
  <c r="J42" s="1"/>
  <c r="K158"/>
  <c r="L158" s="1"/>
  <c r="K138"/>
  <c r="L138" s="1"/>
  <c r="M138" s="1"/>
  <c r="K102"/>
  <c r="L102" s="1"/>
  <c r="K157"/>
  <c r="L157" s="1"/>
  <c r="M157"/>
  <c r="K235"/>
  <c r="L235"/>
  <c r="K204"/>
  <c r="L204"/>
  <c r="J204" s="1"/>
  <c r="K155"/>
  <c r="L155" s="1"/>
  <c r="J155"/>
  <c r="O19" i="3"/>
  <c r="N15"/>
  <c r="J137" i="6"/>
  <c r="M52" i="3"/>
  <c r="O54" s="1"/>
  <c r="J198" i="6"/>
  <c r="M233"/>
  <c r="C38" i="11"/>
  <c r="E38" s="1"/>
  <c r="M32" i="3"/>
  <c r="N32" s="1"/>
  <c r="C23" i="11" s="1"/>
  <c r="E23" s="1"/>
  <c r="O26" i="3"/>
  <c r="M64"/>
  <c r="O68" s="1"/>
  <c r="C20" i="11"/>
  <c r="E20" s="1"/>
  <c r="C15"/>
  <c r="E15" s="1"/>
  <c r="O27" i="3"/>
  <c r="K67" i="5"/>
  <c r="L67" s="1"/>
  <c r="K206"/>
  <c r="L206" s="1"/>
  <c r="M206" s="1"/>
  <c r="K28"/>
  <c r="L28" s="1"/>
  <c r="K6"/>
  <c r="L6"/>
  <c r="J6" s="1"/>
  <c r="K228"/>
  <c r="L228" s="1"/>
  <c r="J228" s="1"/>
  <c r="K105"/>
  <c r="L105" s="1"/>
  <c r="M105" s="1"/>
  <c r="K37"/>
  <c r="L37" s="1"/>
  <c r="K208"/>
  <c r="L208"/>
  <c r="M208" s="1"/>
  <c r="K172"/>
  <c r="L172" s="1"/>
  <c r="M172" s="1"/>
  <c r="K59"/>
  <c r="L59" s="1"/>
  <c r="M59" s="1"/>
  <c r="K218"/>
  <c r="L218" s="1"/>
  <c r="J218" s="1"/>
  <c r="K100"/>
  <c r="L100"/>
  <c r="M100" s="1"/>
  <c r="K134"/>
  <c r="L134" s="1"/>
  <c r="M134" s="1"/>
  <c r="K227"/>
  <c r="L227" s="1"/>
  <c r="M227" s="1"/>
  <c r="K97"/>
  <c r="L97" s="1"/>
  <c r="K29"/>
  <c r="L29" s="1"/>
  <c r="M29" s="1"/>
  <c r="K52"/>
  <c r="L52" s="1"/>
  <c r="J52" s="1"/>
  <c r="K42"/>
  <c r="L42" s="1"/>
  <c r="M42" s="1"/>
  <c r="K106"/>
  <c r="L106" s="1"/>
  <c r="K165"/>
  <c r="L165" s="1"/>
  <c r="M165" s="1"/>
  <c r="K9"/>
  <c r="L9" s="1"/>
  <c r="J9" s="1"/>
  <c r="K136"/>
  <c r="L136" s="1"/>
  <c r="M136" s="1"/>
  <c r="K158"/>
  <c r="L158" s="1"/>
  <c r="M158" s="1"/>
  <c r="K135"/>
  <c r="L135" s="1"/>
  <c r="M135" s="1"/>
  <c r="K75"/>
  <c r="L75" s="1"/>
  <c r="M75" s="1"/>
  <c r="K35"/>
  <c r="L35" s="1"/>
  <c r="M35" s="1"/>
  <c r="K164"/>
  <c r="L164" s="1"/>
  <c r="J164" s="1"/>
  <c r="K160"/>
  <c r="L160" s="1"/>
  <c r="M160" s="1"/>
  <c r="K220"/>
  <c r="L220" s="1"/>
  <c r="K131"/>
  <c r="L131"/>
  <c r="K61"/>
  <c r="L61"/>
  <c r="K33"/>
  <c r="L33"/>
  <c r="K176"/>
  <c r="L176"/>
  <c r="K210"/>
  <c r="L210"/>
  <c r="K152"/>
  <c r="L152"/>
  <c r="K130"/>
  <c r="L130"/>
  <c r="K205"/>
  <c r="L205"/>
  <c r="K145"/>
  <c r="L145"/>
  <c r="K124"/>
  <c r="L124" s="1"/>
  <c r="K234"/>
  <c r="L234" s="1"/>
  <c r="J234" s="1"/>
  <c r="K142"/>
  <c r="L142" s="1"/>
  <c r="K127"/>
  <c r="L127"/>
  <c r="M127" s="1"/>
  <c r="K162"/>
  <c r="L162" s="1"/>
  <c r="K157"/>
  <c r="L157" s="1"/>
  <c r="M157" s="1"/>
  <c r="K230"/>
  <c r="L230" s="1"/>
  <c r="J230" s="1"/>
  <c r="K126"/>
  <c r="L126"/>
  <c r="K151"/>
  <c r="L151"/>
  <c r="K63"/>
  <c r="L63"/>
  <c r="K180"/>
  <c r="L180" s="1"/>
  <c r="K20"/>
  <c r="L20" s="1"/>
  <c r="K54"/>
  <c r="L54" s="1"/>
  <c r="K198"/>
  <c r="L198" s="1"/>
  <c r="K85"/>
  <c r="L85" s="1"/>
  <c r="K24"/>
  <c r="L24" s="1"/>
  <c r="K114"/>
  <c r="L114" s="1"/>
  <c r="J114" s="1"/>
  <c r="K170"/>
  <c r="L170" s="1"/>
  <c r="J170" s="1"/>
  <c r="K153"/>
  <c r="L153" s="1"/>
  <c r="M153" s="1"/>
  <c r="K108"/>
  <c r="L108" s="1"/>
  <c r="M108" s="1"/>
  <c r="K174"/>
  <c r="L174" s="1"/>
  <c r="M174" s="1"/>
  <c r="K143"/>
  <c r="L143" s="1"/>
  <c r="J143" s="1"/>
  <c r="K31"/>
  <c r="L31" s="1"/>
  <c r="J31" s="1"/>
  <c r="K84"/>
  <c r="L84" s="1"/>
  <c r="M84" s="1"/>
  <c r="K237"/>
  <c r="L237"/>
  <c r="J237" s="1"/>
  <c r="K102"/>
  <c r="L102" s="1"/>
  <c r="K163"/>
  <c r="L163" s="1"/>
  <c r="K73"/>
  <c r="L73" s="1"/>
  <c r="K191"/>
  <c r="L191"/>
  <c r="J191" s="1"/>
  <c r="K21"/>
  <c r="L21" s="1"/>
  <c r="M21" s="1"/>
  <c r="K90"/>
  <c r="L90" s="1"/>
  <c r="J90" s="1"/>
  <c r="K23"/>
  <c r="L23"/>
  <c r="M23" s="1"/>
  <c r="K48"/>
  <c r="L48" s="1"/>
  <c r="K203"/>
  <c r="L203" s="1"/>
  <c r="M203" s="1"/>
  <c r="K166"/>
  <c r="L166" s="1"/>
  <c r="J166" s="1"/>
  <c r="K147"/>
  <c r="L147" s="1"/>
  <c r="M147" s="1"/>
  <c r="K65"/>
  <c r="L65" s="1"/>
  <c r="K195"/>
  <c r="L195" s="1"/>
  <c r="K144"/>
  <c r="L144"/>
  <c r="J144" s="1"/>
  <c r="K122"/>
  <c r="L122" s="1"/>
  <c r="K225"/>
  <c r="L225" s="1"/>
  <c r="K133"/>
  <c r="L133" s="1"/>
  <c r="K226"/>
  <c r="L226" s="1"/>
  <c r="K62"/>
  <c r="L62" s="1"/>
  <c r="K213"/>
  <c r="L213" s="1"/>
  <c r="K95"/>
  <c r="L95" s="1"/>
  <c r="K47"/>
  <c r="L47" s="1"/>
  <c r="K92"/>
  <c r="L92" s="1"/>
  <c r="K140"/>
  <c r="L140" s="1"/>
  <c r="K86"/>
  <c r="L86" s="1"/>
  <c r="K171"/>
  <c r="L171" s="1"/>
  <c r="K93"/>
  <c r="L93" s="1"/>
  <c r="J93" s="1"/>
  <c r="K49"/>
  <c r="L49" s="1"/>
  <c r="J49" s="1"/>
  <c r="K4"/>
  <c r="L4" s="1"/>
  <c r="M4" s="1"/>
  <c r="K26"/>
  <c r="L26" s="1"/>
  <c r="J26" s="1"/>
  <c r="K44"/>
  <c r="L44" s="1"/>
  <c r="M44" s="1"/>
  <c r="K58"/>
  <c r="L58" s="1"/>
  <c r="M58" s="1"/>
  <c r="K200"/>
  <c r="L200" s="1"/>
  <c r="M200" s="1"/>
  <c r="K188"/>
  <c r="L188"/>
  <c r="J188" s="1"/>
  <c r="K11"/>
  <c r="L11" s="1"/>
  <c r="M11" s="1"/>
  <c r="K40"/>
  <c r="L40" s="1"/>
  <c r="J40" s="1"/>
  <c r="K46"/>
  <c r="L46" s="1"/>
  <c r="J46" s="1"/>
  <c r="K202"/>
  <c r="L202" s="1"/>
  <c r="J202" s="1"/>
  <c r="K146"/>
  <c r="L146" s="1"/>
  <c r="M146" s="1"/>
  <c r="K215"/>
  <c r="L215" s="1"/>
  <c r="M215" s="1"/>
  <c r="K125"/>
  <c r="L125" s="1"/>
  <c r="M125" s="1"/>
  <c r="K72"/>
  <c r="L72" s="1"/>
  <c r="J72" s="1"/>
  <c r="K229"/>
  <c r="L229" s="1"/>
  <c r="J229" s="1"/>
  <c r="K103"/>
  <c r="L103" s="1"/>
  <c r="J103" s="1"/>
  <c r="K27"/>
  <c r="L27" s="1"/>
  <c r="K16"/>
  <c r="L16" s="1"/>
  <c r="M16" s="1"/>
  <c r="K96"/>
  <c r="L96" s="1"/>
  <c r="J96" s="1"/>
  <c r="K193"/>
  <c r="L193" s="1"/>
  <c r="J193" s="1"/>
  <c r="K117"/>
  <c r="L117"/>
  <c r="K15"/>
  <c r="L15"/>
  <c r="K56"/>
  <c r="L56"/>
  <c r="K221"/>
  <c r="L221"/>
  <c r="K204"/>
  <c r="L204"/>
  <c r="K121"/>
  <c r="L121"/>
  <c r="K168"/>
  <c r="L168"/>
  <c r="M168" s="1"/>
  <c r="K223"/>
  <c r="L223" s="1"/>
  <c r="J223" s="1"/>
  <c r="K99"/>
  <c r="L99" s="1"/>
  <c r="M99" s="1"/>
  <c r="K107"/>
  <c r="L107"/>
  <c r="K51"/>
  <c r="L51"/>
  <c r="J51" s="1"/>
  <c r="K175"/>
  <c r="L175" s="1"/>
  <c r="M175" s="1"/>
  <c r="K209"/>
  <c r="L209" s="1"/>
  <c r="M209" s="1"/>
  <c r="K12"/>
  <c r="L12" s="1"/>
  <c r="J12" s="1"/>
  <c r="K128"/>
  <c r="L128" s="1"/>
  <c r="K38"/>
  <c r="L38" s="1"/>
  <c r="J38" s="1"/>
  <c r="K212"/>
  <c r="L212" s="1"/>
  <c r="J212" s="1"/>
  <c r="K190"/>
  <c r="L190"/>
  <c r="J190" s="1"/>
  <c r="K113"/>
  <c r="L113" s="1"/>
  <c r="K81"/>
  <c r="L81" s="1"/>
  <c r="K45"/>
  <c r="L45" s="1"/>
  <c r="M45" s="1"/>
  <c r="K3"/>
  <c r="L3" s="1"/>
  <c r="M3" s="1"/>
  <c r="K156"/>
  <c r="L156" s="1"/>
  <c r="K182"/>
  <c r="L182" s="1"/>
  <c r="K18"/>
  <c r="L18" s="1"/>
  <c r="K185"/>
  <c r="L185" s="1"/>
  <c r="M185" s="1"/>
  <c r="K186"/>
  <c r="L186" s="1"/>
  <c r="K91"/>
  <c r="L91"/>
  <c r="K43"/>
  <c r="L43"/>
  <c r="J43" s="1"/>
  <c r="K13"/>
  <c r="L13" s="1"/>
  <c r="M13" s="1"/>
  <c r="K179"/>
  <c r="L179" s="1"/>
  <c r="M179" s="1"/>
  <c r="K112"/>
  <c r="L112" s="1"/>
  <c r="J112" s="1"/>
  <c r="K64"/>
  <c r="L64" s="1"/>
  <c r="J64" s="1"/>
  <c r="K70"/>
  <c r="L70" s="1"/>
  <c r="K207"/>
  <c r="L207" s="1"/>
  <c r="K123"/>
  <c r="L123" s="1"/>
  <c r="K89"/>
  <c r="L89"/>
  <c r="K53"/>
  <c r="L53"/>
  <c r="J53" s="1"/>
  <c r="K88"/>
  <c r="L88" s="1"/>
  <c r="K50"/>
  <c r="L50" s="1"/>
  <c r="K187"/>
  <c r="L187" s="1"/>
  <c r="K2"/>
  <c r="L2" s="1"/>
  <c r="J2" s="1"/>
  <c r="K66"/>
  <c r="L66" s="1"/>
  <c r="K189"/>
  <c r="L189"/>
  <c r="K233"/>
  <c r="L233"/>
  <c r="K197"/>
  <c r="L197"/>
  <c r="K192"/>
  <c r="L192"/>
  <c r="J192" s="1"/>
  <c r="K149"/>
  <c r="L149" s="1"/>
  <c r="M149" s="1"/>
  <c r="K19"/>
  <c r="L19" s="1"/>
  <c r="J19" s="1"/>
  <c r="K236"/>
  <c r="L236" s="1"/>
  <c r="J236" s="1"/>
  <c r="K8"/>
  <c r="L8" s="1"/>
  <c r="J8" s="1"/>
  <c r="K30"/>
  <c r="L30" s="1"/>
  <c r="J30" s="1"/>
  <c r="K94"/>
  <c r="L94" s="1"/>
  <c r="J94" s="1"/>
  <c r="K224"/>
  <c r="L224" s="1"/>
  <c r="J224" s="1"/>
  <c r="K167"/>
  <c r="L167" s="1"/>
  <c r="M167" s="1"/>
  <c r="K111"/>
  <c r="L111" s="1"/>
  <c r="M111" s="1"/>
  <c r="K79"/>
  <c r="L79" s="1"/>
  <c r="J79" s="1"/>
  <c r="K71"/>
  <c r="L71" s="1"/>
  <c r="M71" s="1"/>
  <c r="K39"/>
  <c r="L39" s="1"/>
  <c r="K232"/>
  <c r="L232" s="1"/>
  <c r="K36"/>
  <c r="L36" s="1"/>
  <c r="K80"/>
  <c r="L80" s="1"/>
  <c r="K32"/>
  <c r="L32" s="1"/>
  <c r="K22"/>
  <c r="L22" s="1"/>
  <c r="K150"/>
  <c r="L150" s="1"/>
  <c r="K219"/>
  <c r="L219" s="1"/>
  <c r="K139"/>
  <c r="L139" s="1"/>
  <c r="K109"/>
  <c r="L109" s="1"/>
  <c r="K77"/>
  <c r="L77" s="1"/>
  <c r="K57"/>
  <c r="L57" s="1"/>
  <c r="K41"/>
  <c r="L41" s="1"/>
  <c r="K25"/>
  <c r="L25" s="1"/>
  <c r="K120"/>
  <c r="L120" s="1"/>
  <c r="K10"/>
  <c r="L10" s="1"/>
  <c r="K74"/>
  <c r="L74" s="1"/>
  <c r="K60"/>
  <c r="L60" s="1"/>
  <c r="K132"/>
  <c r="L132" s="1"/>
  <c r="K34"/>
  <c r="L34" s="1"/>
  <c r="K82"/>
  <c r="L82" s="1"/>
  <c r="K183"/>
  <c r="L183" s="1"/>
  <c r="M183" s="1"/>
  <c r="K138"/>
  <c r="L138" s="1"/>
  <c r="M138" s="1"/>
  <c r="K217"/>
  <c r="L217" s="1"/>
  <c r="M217" s="1"/>
  <c r="K161"/>
  <c r="L161" s="1"/>
  <c r="M161" s="1"/>
  <c r="K129"/>
  <c r="L129" s="1"/>
  <c r="J129" s="1"/>
  <c r="K7"/>
  <c r="L7" s="1"/>
  <c r="J7" s="1"/>
  <c r="K68"/>
  <c r="L68" s="1"/>
  <c r="J68" s="1"/>
  <c r="K104"/>
  <c r="L104" s="1"/>
  <c r="M104" s="1"/>
  <c r="K14"/>
  <c r="L14" s="1"/>
  <c r="M14" s="1"/>
  <c r="K78"/>
  <c r="L78" s="1"/>
  <c r="M78" s="1"/>
  <c r="K216"/>
  <c r="L216" s="1"/>
  <c r="K159"/>
  <c r="L159"/>
  <c r="K211"/>
  <c r="L211"/>
  <c r="K196"/>
  <c r="L196"/>
  <c r="K178"/>
  <c r="L178"/>
  <c r="K173"/>
  <c r="L173"/>
  <c r="M173" s="1"/>
  <c r="K141"/>
  <c r="L141" s="1"/>
  <c r="J141" s="1"/>
  <c r="K5"/>
  <c r="L5" s="1"/>
  <c r="J5" s="1"/>
  <c r="K116"/>
  <c r="L116" s="1"/>
  <c r="J116" s="1"/>
  <c r="K214"/>
  <c r="L214" s="1"/>
  <c r="J214" s="1"/>
  <c r="K201"/>
  <c r="L201" s="1"/>
  <c r="M201" s="1"/>
  <c r="K194"/>
  <c r="L194" s="1"/>
  <c r="M194" s="1"/>
  <c r="K119"/>
  <c r="L119" s="1"/>
  <c r="M119" s="1"/>
  <c r="K87"/>
  <c r="L87" s="1"/>
  <c r="J87" s="1"/>
  <c r="K55"/>
  <c r="L55" s="1"/>
  <c r="M55" s="1"/>
  <c r="K17"/>
  <c r="L17" s="1"/>
  <c r="J17" s="1"/>
  <c r="K76"/>
  <c r="L76" s="1"/>
  <c r="J76" s="1"/>
  <c r="K199"/>
  <c r="L199" s="1"/>
  <c r="M199" s="1"/>
  <c r="K148"/>
  <c r="L148" s="1"/>
  <c r="M148" s="1"/>
  <c r="K181"/>
  <c r="L181" s="1"/>
  <c r="J181" s="1"/>
  <c r="K118"/>
  <c r="L118" s="1"/>
  <c r="J118" s="1"/>
  <c r="K238"/>
  <c r="L238" s="1"/>
  <c r="K155"/>
  <c r="L155"/>
  <c r="K101"/>
  <c r="L101"/>
  <c r="K69"/>
  <c r="L69"/>
  <c r="K177"/>
  <c r="L177"/>
  <c r="K231"/>
  <c r="L231"/>
  <c r="K222"/>
  <c r="L222"/>
  <c r="K154"/>
  <c r="L154"/>
  <c r="M154" s="1"/>
  <c r="K98"/>
  <c r="L98"/>
  <c r="J98" s="1"/>
  <c r="K241"/>
  <c r="L241"/>
  <c r="J241" s="1"/>
  <c r="K169"/>
  <c r="L169"/>
  <c r="M169" s="1"/>
  <c r="K137"/>
  <c r="L137"/>
  <c r="M137" s="1"/>
  <c r="K240"/>
  <c r="L240"/>
  <c r="J240" s="1"/>
  <c r="K235"/>
  <c r="L235" s="1"/>
  <c r="K110"/>
  <c r="L110" s="1"/>
  <c r="M110" s="1"/>
  <c r="K239"/>
  <c r="L239" s="1"/>
  <c r="J239" s="1"/>
  <c r="K184"/>
  <c r="L184" s="1"/>
  <c r="M184" s="1"/>
  <c r="K115"/>
  <c r="L115" s="1"/>
  <c r="M115" s="1"/>
  <c r="K83"/>
  <c r="L83" s="1"/>
  <c r="C63" i="11"/>
  <c r="E63"/>
  <c r="M51" i="5"/>
  <c r="O12" i="3"/>
  <c r="A9" s="1"/>
  <c r="N8"/>
  <c r="N44"/>
  <c r="N90"/>
  <c r="C73" i="11" s="1"/>
  <c r="E73" s="1"/>
  <c r="O89" i="3"/>
  <c r="B13" i="10" s="1"/>
  <c r="D13" s="1"/>
  <c r="C69" i="11"/>
  <c r="E69" s="1"/>
  <c r="N58" i="3"/>
  <c r="O62" s="1"/>
  <c r="O61"/>
  <c r="B70" i="5"/>
  <c r="B70" i="7"/>
  <c r="B50" i="4"/>
  <c r="F53"/>
  <c r="F51"/>
  <c r="F50"/>
  <c r="F50" i="5"/>
  <c r="F55"/>
  <c r="F51"/>
  <c r="F54" i="7"/>
  <c r="F53"/>
  <c r="F52"/>
  <c r="F51"/>
  <c r="F50"/>
  <c r="F50" i="6"/>
  <c r="F51"/>
  <c r="M36" s="1"/>
  <c r="F55" i="8"/>
  <c r="F51"/>
  <c r="F52"/>
  <c r="E10" i="10"/>
  <c r="F50" i="11"/>
  <c r="F52"/>
  <c r="F54"/>
  <c r="E10" i="9"/>
  <c r="B43" i="4"/>
  <c r="B43" i="5"/>
  <c r="B43" i="7"/>
  <c r="B43" i="8"/>
  <c r="B28" i="7"/>
  <c r="J216" s="1"/>
  <c r="B27"/>
  <c r="B27" i="4"/>
  <c r="B27" i="5"/>
  <c r="E2" i="9"/>
  <c r="C1" i="3"/>
  <c r="F3" i="5"/>
  <c r="F7" i="8"/>
  <c r="F6" i="5"/>
  <c r="F4" i="7"/>
  <c r="F3" i="6"/>
  <c r="M30" s="1"/>
  <c r="F4" i="8"/>
  <c r="F7" i="6"/>
  <c r="F5" i="8"/>
  <c r="F5" i="5"/>
  <c r="E2" i="10"/>
  <c r="F2" i="7"/>
  <c r="F2" i="8"/>
  <c r="F4" i="4"/>
  <c r="F2"/>
  <c r="F7" i="7"/>
  <c r="F3" i="11"/>
  <c r="F5" i="7"/>
  <c r="F6" i="8"/>
  <c r="F11" i="11"/>
  <c r="F13" i="8"/>
  <c r="F10"/>
  <c r="F8" i="6"/>
  <c r="F11"/>
  <c r="F8" i="7"/>
  <c r="F8" i="5"/>
  <c r="F11"/>
  <c r="F13"/>
  <c r="F12" i="4"/>
  <c r="F11"/>
  <c r="F13"/>
  <c r="F9"/>
  <c r="F9" i="5"/>
  <c r="F12" i="7"/>
  <c r="F10"/>
  <c r="F9"/>
  <c r="F8" i="11"/>
  <c r="F12"/>
  <c r="E3" i="9"/>
  <c r="B12" i="10"/>
  <c r="D12" s="1"/>
  <c r="A79" i="3"/>
  <c r="J168" i="5"/>
  <c r="M103" i="7"/>
  <c r="J211"/>
  <c r="O47" i="3"/>
  <c r="M188" i="6"/>
  <c r="M23" i="7"/>
  <c r="J23"/>
  <c r="M177"/>
  <c r="J177"/>
  <c r="N232" i="3"/>
  <c r="N82"/>
  <c r="J235" i="6"/>
  <c r="O75" i="3"/>
  <c r="B11" i="10" s="1"/>
  <c r="D11" s="1"/>
  <c r="N54" i="3"/>
  <c r="A114"/>
  <c r="O33"/>
  <c r="N94"/>
  <c r="O96"/>
  <c r="B14" i="10" s="1"/>
  <c r="D14" s="1"/>
  <c r="N268" i="3"/>
  <c r="B29" i="10"/>
  <c r="D29"/>
  <c r="A198" i="3"/>
  <c r="N64"/>
  <c r="O124"/>
  <c r="B18" i="10" s="1"/>
  <c r="D18" s="1"/>
  <c r="N122" i="3"/>
  <c r="N134"/>
  <c r="C110" i="11" s="1"/>
  <c r="E110" s="1"/>
  <c r="O138" i="3"/>
  <c r="O180"/>
  <c r="N178"/>
  <c r="N190"/>
  <c r="C158" i="11" s="1"/>
  <c r="E158" s="1"/>
  <c r="O194" i="3"/>
  <c r="C170" i="11"/>
  <c r="E170" s="1"/>
  <c r="J112" i="6"/>
  <c r="M167"/>
  <c r="J116"/>
  <c r="M26"/>
  <c r="O153" i="3"/>
  <c r="N106"/>
  <c r="O110"/>
  <c r="O166"/>
  <c r="N162"/>
  <c r="B23" i="9"/>
  <c r="D23" s="1"/>
  <c r="A157" i="3"/>
  <c r="B33" i="9"/>
  <c r="D33" s="1"/>
  <c r="A227" i="3"/>
  <c r="B29" i="9"/>
  <c r="D29"/>
  <c r="A199" i="3"/>
  <c r="B19" i="9"/>
  <c r="D19" s="1"/>
  <c r="A129" i="3"/>
  <c r="B17" i="9"/>
  <c r="D17"/>
  <c r="A115" i="3"/>
  <c r="J21" i="5"/>
  <c r="O152" i="3"/>
  <c r="M178" i="6"/>
  <c r="J135"/>
  <c r="J59" i="5"/>
  <c r="J175"/>
  <c r="J172"/>
  <c r="J218" i="6"/>
  <c r="M109"/>
  <c r="J84"/>
  <c r="J147"/>
  <c r="J134"/>
  <c r="M70"/>
  <c r="J17"/>
  <c r="O40" i="3"/>
  <c r="B6" i="10" s="1"/>
  <c r="D6" s="1"/>
  <c r="M232" i="6"/>
  <c r="M193"/>
  <c r="M189"/>
  <c r="M175"/>
  <c r="M238"/>
  <c r="J107"/>
  <c r="M190"/>
  <c r="J63"/>
  <c r="M148"/>
  <c r="M152"/>
  <c r="J141"/>
  <c r="J89"/>
  <c r="M33"/>
  <c r="M125"/>
  <c r="J239"/>
  <c r="M99"/>
  <c r="M75"/>
  <c r="J21"/>
  <c r="M192"/>
  <c r="J173"/>
  <c r="J66"/>
  <c r="J4"/>
  <c r="J38"/>
  <c r="J69"/>
  <c r="J149"/>
  <c r="O34" i="3"/>
  <c r="J208" i="6"/>
  <c r="M211"/>
  <c r="J71"/>
  <c r="M34"/>
  <c r="M220"/>
  <c r="M142"/>
  <c r="J203"/>
  <c r="J76"/>
  <c r="J37"/>
  <c r="C27" i="11"/>
  <c r="E27" s="1"/>
  <c r="O41" i="3"/>
  <c r="B6" i="9" s="1"/>
  <c r="D6" s="1"/>
  <c r="J150" i="6"/>
  <c r="J83"/>
  <c r="M10"/>
  <c r="J7"/>
  <c r="J57"/>
  <c r="M161"/>
  <c r="J60"/>
  <c r="J231"/>
  <c r="J53"/>
  <c r="M44"/>
  <c r="J195"/>
  <c r="J206"/>
  <c r="J138"/>
  <c r="C56" i="11"/>
  <c r="E56"/>
  <c r="O76" i="3"/>
  <c r="M240" i="6"/>
  <c r="J217"/>
  <c r="J157"/>
  <c r="M42"/>
  <c r="J191"/>
  <c r="J50"/>
  <c r="M101"/>
  <c r="M133"/>
  <c r="J165" i="5"/>
  <c r="J209"/>
  <c r="M43"/>
  <c r="J29"/>
  <c r="M235" i="6"/>
  <c r="M234"/>
  <c r="J120"/>
  <c r="M146"/>
  <c r="M204"/>
  <c r="M155"/>
  <c r="B3" i="10"/>
  <c r="D3" s="1"/>
  <c r="A16" i="3"/>
  <c r="J121" i="6"/>
  <c r="M121"/>
  <c r="M213"/>
  <c r="J213"/>
  <c r="M87"/>
  <c r="J87"/>
  <c r="J197"/>
  <c r="M197"/>
  <c r="J74"/>
  <c r="M74"/>
  <c r="M41"/>
  <c r="J41"/>
  <c r="J19"/>
  <c r="M19"/>
  <c r="M105"/>
  <c r="J105"/>
  <c r="M226"/>
  <c r="J226"/>
  <c r="M13"/>
  <c r="J13"/>
  <c r="J67"/>
  <c r="M67"/>
  <c r="M24"/>
  <c r="J24"/>
  <c r="J92"/>
  <c r="M92"/>
  <c r="J222"/>
  <c r="M222"/>
  <c r="J113"/>
  <c r="M113"/>
  <c r="M62"/>
  <c r="J62"/>
  <c r="M186"/>
  <c r="J186"/>
  <c r="M95"/>
  <c r="J95"/>
  <c r="M156"/>
  <c r="J156"/>
  <c r="J54"/>
  <c r="M54"/>
  <c r="M119"/>
  <c r="J119"/>
  <c r="J199"/>
  <c r="M199"/>
  <c r="O20" i="3"/>
  <c r="A17" s="1"/>
  <c r="C8" i="11"/>
  <c r="E8" s="1"/>
  <c r="M102" i="6"/>
  <c r="J102"/>
  <c r="J15"/>
  <c r="M15"/>
  <c r="J36"/>
  <c r="J126"/>
  <c r="M126"/>
  <c r="M136"/>
  <c r="J136"/>
  <c r="J237"/>
  <c r="M237"/>
  <c r="J168"/>
  <c r="M168"/>
  <c r="M225"/>
  <c r="J225"/>
  <c r="J20"/>
  <c r="M20"/>
  <c r="J93"/>
  <c r="M93"/>
  <c r="J177"/>
  <c r="M177"/>
  <c r="J111"/>
  <c r="M111"/>
  <c r="J169"/>
  <c r="M169"/>
  <c r="J139"/>
  <c r="M139"/>
  <c r="J49"/>
  <c r="M49"/>
  <c r="J48"/>
  <c r="M48"/>
  <c r="M160"/>
  <c r="J160"/>
  <c r="J3"/>
  <c r="M3"/>
  <c r="M14"/>
  <c r="J14"/>
  <c r="J202"/>
  <c r="M202"/>
  <c r="J18"/>
  <c r="M18"/>
  <c r="J124"/>
  <c r="M124"/>
  <c r="M117"/>
  <c r="J117"/>
  <c r="M118"/>
  <c r="J118"/>
  <c r="M51"/>
  <c r="J51"/>
  <c r="M103"/>
  <c r="J103"/>
  <c r="M104"/>
  <c r="J104"/>
  <c r="M230" i="5"/>
  <c r="M237"/>
  <c r="M193"/>
  <c r="M228"/>
  <c r="J185"/>
  <c r="M2"/>
  <c r="M38"/>
  <c r="M144"/>
  <c r="M31"/>
  <c r="B8" i="10"/>
  <c r="D8" s="1"/>
  <c r="A51" i="3"/>
  <c r="B4" i="10"/>
  <c r="D4" s="1"/>
  <c r="A23" i="3"/>
  <c r="A65"/>
  <c r="B10" i="10"/>
  <c r="D10" s="1"/>
  <c r="C50" i="11"/>
  <c r="E50" s="1"/>
  <c r="O69" i="3"/>
  <c r="B10" i="9" s="1"/>
  <c r="D10" s="1"/>
  <c r="M234" i="5"/>
  <c r="J13"/>
  <c r="J105"/>
  <c r="M53"/>
  <c r="J100"/>
  <c r="J206"/>
  <c r="B5" i="9"/>
  <c r="D5"/>
  <c r="A31" i="3"/>
  <c r="M188" i="5"/>
  <c r="M191"/>
  <c r="M64"/>
  <c r="J45"/>
  <c r="J179"/>
  <c r="M223"/>
  <c r="M240"/>
  <c r="M192"/>
  <c r="J173"/>
  <c r="J84"/>
  <c r="J42"/>
  <c r="J203"/>
  <c r="M143"/>
  <c r="M6"/>
  <c r="J147"/>
  <c r="J23"/>
  <c r="B4" i="9"/>
  <c r="D4" s="1"/>
  <c r="A24" i="3"/>
  <c r="J204" i="5"/>
  <c r="M204"/>
  <c r="M56"/>
  <c r="J56"/>
  <c r="J117"/>
  <c r="M117"/>
  <c r="M96"/>
  <c r="J27"/>
  <c r="M229"/>
  <c r="J125"/>
  <c r="J146"/>
  <c r="M46"/>
  <c r="J11"/>
  <c r="J44"/>
  <c r="M93"/>
  <c r="J86"/>
  <c r="M86"/>
  <c r="M92"/>
  <c r="J92"/>
  <c r="M95"/>
  <c r="J95"/>
  <c r="M62"/>
  <c r="J62"/>
  <c r="M133"/>
  <c r="J133"/>
  <c r="J108"/>
  <c r="M170"/>
  <c r="M24"/>
  <c r="J24"/>
  <c r="M198"/>
  <c r="J198"/>
  <c r="J20"/>
  <c r="M20"/>
  <c r="M63"/>
  <c r="J63"/>
  <c r="M126"/>
  <c r="J126"/>
  <c r="M145"/>
  <c r="J145"/>
  <c r="J130"/>
  <c r="M130"/>
  <c r="J210"/>
  <c r="M210"/>
  <c r="J33"/>
  <c r="M33"/>
  <c r="J131"/>
  <c r="M131"/>
  <c r="J160"/>
  <c r="J35"/>
  <c r="J135"/>
  <c r="J136"/>
  <c r="J121"/>
  <c r="M121"/>
  <c r="M221"/>
  <c r="J221"/>
  <c r="M15"/>
  <c r="J15"/>
  <c r="J16"/>
  <c r="M72"/>
  <c r="M202"/>
  <c r="J58"/>
  <c r="M26"/>
  <c r="M49"/>
  <c r="J171"/>
  <c r="M171"/>
  <c r="J140"/>
  <c r="M140"/>
  <c r="M47"/>
  <c r="J47"/>
  <c r="J213"/>
  <c r="M213"/>
  <c r="J226"/>
  <c r="M226"/>
  <c r="J225"/>
  <c r="M225"/>
  <c r="J174"/>
  <c r="M114"/>
  <c r="M85"/>
  <c r="J85"/>
  <c r="J54"/>
  <c r="M54"/>
  <c r="M180"/>
  <c r="J180"/>
  <c r="M151"/>
  <c r="J151"/>
  <c r="J124"/>
  <c r="M124"/>
  <c r="J205"/>
  <c r="M205"/>
  <c r="M152"/>
  <c r="J152"/>
  <c r="M176"/>
  <c r="J176"/>
  <c r="J61"/>
  <c r="M61"/>
  <c r="J75"/>
  <c r="M9"/>
  <c r="J106"/>
  <c r="M106"/>
  <c r="J134"/>
  <c r="M28"/>
  <c r="J28"/>
  <c r="J67"/>
  <c r="M67"/>
  <c r="M190"/>
  <c r="J208"/>
  <c r="J157"/>
  <c r="J127"/>
  <c r="J99"/>
  <c r="M239"/>
  <c r="J115"/>
  <c r="J137"/>
  <c r="M241"/>
  <c r="J154"/>
  <c r="J231"/>
  <c r="M231"/>
  <c r="J69"/>
  <c r="M69"/>
  <c r="M155"/>
  <c r="J155"/>
  <c r="M118"/>
  <c r="J148"/>
  <c r="M76"/>
  <c r="J55"/>
  <c r="J119"/>
  <c r="J201"/>
  <c r="M116"/>
  <c r="M141"/>
  <c r="J178"/>
  <c r="M178"/>
  <c r="M211"/>
  <c r="J211"/>
  <c r="J14"/>
  <c r="M129"/>
  <c r="J183"/>
  <c r="J34"/>
  <c r="M34"/>
  <c r="M60"/>
  <c r="J60"/>
  <c r="J10"/>
  <c r="M10"/>
  <c r="M25"/>
  <c r="J25"/>
  <c r="M57"/>
  <c r="J57"/>
  <c r="J109"/>
  <c r="M109"/>
  <c r="M219"/>
  <c r="J219"/>
  <c r="J22"/>
  <c r="M22"/>
  <c r="J80"/>
  <c r="M80"/>
  <c r="J71"/>
  <c r="J111"/>
  <c r="M224"/>
  <c r="M30"/>
  <c r="M236"/>
  <c r="J149"/>
  <c r="M197"/>
  <c r="J197"/>
  <c r="M189"/>
  <c r="J189"/>
  <c r="M50"/>
  <c r="J50"/>
  <c r="J70"/>
  <c r="M70"/>
  <c r="M91"/>
  <c r="J91"/>
  <c r="J182"/>
  <c r="M182"/>
  <c r="J3"/>
  <c r="M81"/>
  <c r="J81"/>
  <c r="M107"/>
  <c r="J107"/>
  <c r="J110"/>
  <c r="J169"/>
  <c r="M98"/>
  <c r="M222"/>
  <c r="J222"/>
  <c r="M177"/>
  <c r="J177"/>
  <c r="J101"/>
  <c r="M101"/>
  <c r="J199"/>
  <c r="M87"/>
  <c r="M214"/>
  <c r="J196"/>
  <c r="M196"/>
  <c r="J159"/>
  <c r="M159"/>
  <c r="J78"/>
  <c r="J104"/>
  <c r="M7"/>
  <c r="J161"/>
  <c r="J138"/>
  <c r="M82"/>
  <c r="J82"/>
  <c r="J132"/>
  <c r="M132"/>
  <c r="M74"/>
  <c r="J74"/>
  <c r="M120"/>
  <c r="J120"/>
  <c r="M41"/>
  <c r="J41"/>
  <c r="M77"/>
  <c r="J77"/>
  <c r="M139"/>
  <c r="J139"/>
  <c r="M150"/>
  <c r="J150"/>
  <c r="J32"/>
  <c r="M32"/>
  <c r="M36"/>
  <c r="J36"/>
  <c r="M79"/>
  <c r="M94"/>
  <c r="M19"/>
  <c r="M233"/>
  <c r="J233"/>
  <c r="J187"/>
  <c r="M187"/>
  <c r="J89"/>
  <c r="M89"/>
  <c r="J18"/>
  <c r="M18"/>
  <c r="B2" i="10"/>
  <c r="D2" s="1"/>
  <c r="C2" i="11"/>
  <c r="E2" s="1"/>
  <c r="O13" i="3"/>
  <c r="B2" i="9" s="1"/>
  <c r="D2" s="1"/>
  <c r="A44" i="3"/>
  <c r="B7" i="10"/>
  <c r="D7" s="1"/>
  <c r="C33" i="11"/>
  <c r="E33" s="1"/>
  <c r="O48" i="3"/>
  <c r="B7" i="9" s="1"/>
  <c r="D7" s="1"/>
  <c r="A86" i="3"/>
  <c r="O90"/>
  <c r="A87"/>
  <c r="C45" i="11"/>
  <c r="E45" s="1"/>
  <c r="B9" i="10"/>
  <c r="D9" s="1"/>
  <c r="A58" i="3"/>
  <c r="C66" i="11"/>
  <c r="E66" s="1"/>
  <c r="O83" i="3"/>
  <c r="A80" s="1"/>
  <c r="A72"/>
  <c r="C194" i="11"/>
  <c r="E194" s="1"/>
  <c r="C225"/>
  <c r="E225" s="1"/>
  <c r="C76"/>
  <c r="E76" s="1"/>
  <c r="B22" i="10"/>
  <c r="D22" s="1"/>
  <c r="A149" i="3"/>
  <c r="C134" i="11"/>
  <c r="E134" s="1"/>
  <c r="B16" i="10"/>
  <c r="D16" s="1"/>
  <c r="A107" i="3"/>
  <c r="B22" i="9"/>
  <c r="D22"/>
  <c r="A150" i="3"/>
  <c r="B26" i="10"/>
  <c r="D26" s="1"/>
  <c r="A177" i="3"/>
  <c r="A121"/>
  <c r="A163"/>
  <c r="B24" i="10"/>
  <c r="D24" s="1"/>
  <c r="C86" i="11"/>
  <c r="E86" s="1"/>
  <c r="B28" i="10"/>
  <c r="D28" s="1"/>
  <c r="A191" i="3"/>
  <c r="C148" i="11"/>
  <c r="E148" s="1"/>
  <c r="B20" i="10"/>
  <c r="D20"/>
  <c r="A135" i="3"/>
  <c r="C100" i="11"/>
  <c r="E100" s="1"/>
  <c r="O125" i="3"/>
  <c r="A122" s="1"/>
  <c r="B13" i="9"/>
  <c r="D13" s="1"/>
  <c r="A38" i="3"/>
  <c r="B11" i="9"/>
  <c r="D11"/>
  <c r="A73" i="3"/>
  <c r="B3" i="9"/>
  <c r="D3" s="1"/>
  <c r="A10" i="3"/>
  <c r="B18" i="9"/>
  <c r="D18" s="1"/>
  <c r="A59" i="3" l="1"/>
  <c r="B9" i="9"/>
  <c r="D9" s="1"/>
  <c r="M65" i="5"/>
  <c r="J65"/>
  <c r="J163"/>
  <c r="M163"/>
  <c r="M12" i="6"/>
  <c r="J12"/>
  <c r="M58"/>
  <c r="J58"/>
  <c r="M207" i="5"/>
  <c r="J207"/>
  <c r="J158" i="6"/>
  <c r="M158"/>
  <c r="J219"/>
  <c r="M219"/>
  <c r="B12" i="9"/>
  <c r="D12" s="1"/>
  <c r="A45" i="3"/>
  <c r="A93"/>
  <c r="J184" i="5"/>
  <c r="N222" i="3"/>
  <c r="C186" i="11" s="1"/>
  <c r="E186" s="1"/>
  <c r="O222" i="3"/>
  <c r="C82" i="11"/>
  <c r="E82" s="1"/>
  <c r="O104" i="3"/>
  <c r="C118" i="11"/>
  <c r="E118" s="1"/>
  <c r="O146" i="3"/>
  <c r="C141" i="11"/>
  <c r="E141" s="1"/>
  <c r="O174" i="3"/>
  <c r="C156" i="11"/>
  <c r="E156" s="1"/>
  <c r="O188" i="3"/>
  <c r="A213"/>
  <c r="B31" i="9"/>
  <c r="D31" s="1"/>
  <c r="C207" i="11"/>
  <c r="E207" s="1"/>
  <c r="K176" i="7"/>
  <c r="L176" s="1"/>
  <c r="K71"/>
  <c r="L71" s="1"/>
  <c r="K125"/>
  <c r="L125" s="1"/>
  <c r="K178"/>
  <c r="L178" s="1"/>
  <c r="K169"/>
  <c r="L169" s="1"/>
  <c r="K73"/>
  <c r="L73" s="1"/>
  <c r="K78"/>
  <c r="L78" s="1"/>
  <c r="M78" s="1"/>
  <c r="K219"/>
  <c r="L219" s="1"/>
  <c r="K172"/>
  <c r="L172" s="1"/>
  <c r="K19"/>
  <c r="L19" s="1"/>
  <c r="K34"/>
  <c r="L34" s="1"/>
  <c r="K144"/>
  <c r="L144" s="1"/>
  <c r="K15"/>
  <c r="L15" s="1"/>
  <c r="K142"/>
  <c r="L142" s="1"/>
  <c r="K14"/>
  <c r="L14" s="1"/>
  <c r="K174"/>
  <c r="L174" s="1"/>
  <c r="K16"/>
  <c r="L16" s="1"/>
  <c r="K65"/>
  <c r="L65" s="1"/>
  <c r="K31"/>
  <c r="L31" s="1"/>
  <c r="K123"/>
  <c r="L123" s="1"/>
  <c r="K39"/>
  <c r="L39" s="1"/>
  <c r="K225"/>
  <c r="L225" s="1"/>
  <c r="K45"/>
  <c r="L45" s="1"/>
  <c r="K51"/>
  <c r="L51" s="1"/>
  <c r="K69"/>
  <c r="L69" s="1"/>
  <c r="K153"/>
  <c r="L153" s="1"/>
  <c r="K133"/>
  <c r="L133" s="1"/>
  <c r="K143"/>
  <c r="L143" s="1"/>
  <c r="K221"/>
  <c r="L221" s="1"/>
  <c r="K164"/>
  <c r="L164" s="1"/>
  <c r="M164" s="1"/>
  <c r="K226"/>
  <c r="L226" s="1"/>
  <c r="K70"/>
  <c r="L70" s="1"/>
  <c r="K179"/>
  <c r="L179" s="1"/>
  <c r="K119"/>
  <c r="L119" s="1"/>
  <c r="K212"/>
  <c r="L212" s="1"/>
  <c r="K239"/>
  <c r="L239" s="1"/>
  <c r="J239" s="1"/>
  <c r="K47"/>
  <c r="L47" s="1"/>
  <c r="K175"/>
  <c r="L175" s="1"/>
  <c r="K95"/>
  <c r="L95" s="1"/>
  <c r="K200"/>
  <c r="L200" s="1"/>
  <c r="K162"/>
  <c r="L162" s="1"/>
  <c r="K82"/>
  <c r="L82" s="1"/>
  <c r="K102"/>
  <c r="L102" s="1"/>
  <c r="K224"/>
  <c r="L224" s="1"/>
  <c r="K93"/>
  <c r="L93" s="1"/>
  <c r="K77"/>
  <c r="L77" s="1"/>
  <c r="K86"/>
  <c r="L86" s="1"/>
  <c r="K163"/>
  <c r="L163" s="1"/>
  <c r="K134"/>
  <c r="L134" s="1"/>
  <c r="K35"/>
  <c r="L35" s="1"/>
  <c r="K87"/>
  <c r="L87" s="1"/>
  <c r="K113"/>
  <c r="L113" s="1"/>
  <c r="K232"/>
  <c r="L232" s="1"/>
  <c r="J232" s="1"/>
  <c r="K37"/>
  <c r="L37" s="1"/>
  <c r="K38"/>
  <c r="L38" s="1"/>
  <c r="K214"/>
  <c r="L214" s="1"/>
  <c r="K91"/>
  <c r="L91" s="1"/>
  <c r="K104"/>
  <c r="L104" s="1"/>
  <c r="K28"/>
  <c r="L28" s="1"/>
  <c r="K168"/>
  <c r="L168" s="1"/>
  <c r="K52"/>
  <c r="L52" s="1"/>
  <c r="K90"/>
  <c r="L90" s="1"/>
  <c r="K215"/>
  <c r="L215" s="1"/>
  <c r="K166"/>
  <c r="L166" s="1"/>
  <c r="K40"/>
  <c r="L40" s="1"/>
  <c r="K170"/>
  <c r="L170" s="1"/>
  <c r="K56"/>
  <c r="L56" s="1"/>
  <c r="K83"/>
  <c r="L83" s="1"/>
  <c r="K106"/>
  <c r="L106" s="1"/>
  <c r="K189"/>
  <c r="L189" s="1"/>
  <c r="K238"/>
  <c r="L238" s="1"/>
  <c r="J238" s="1"/>
  <c r="K138"/>
  <c r="L138" s="1"/>
  <c r="K58"/>
  <c r="L58" s="1"/>
  <c r="K151"/>
  <c r="L151" s="1"/>
  <c r="K88"/>
  <c r="L88" s="1"/>
  <c r="K108"/>
  <c r="L108" s="1"/>
  <c r="K137"/>
  <c r="L137" s="1"/>
  <c r="K60"/>
  <c r="L60" s="1"/>
  <c r="K158"/>
  <c r="L158" s="1"/>
  <c r="K89"/>
  <c r="L89" s="1"/>
  <c r="K66"/>
  <c r="L66" s="1"/>
  <c r="K180"/>
  <c r="L180" s="1"/>
  <c r="K235"/>
  <c r="L235" s="1"/>
  <c r="J235" s="1"/>
  <c r="K167"/>
  <c r="L167" s="1"/>
  <c r="K92"/>
  <c r="L92" s="1"/>
  <c r="K41"/>
  <c r="L41" s="1"/>
  <c r="K21"/>
  <c r="L21" s="1"/>
  <c r="K191"/>
  <c r="L191" s="1"/>
  <c r="J191" s="1"/>
  <c r="K126"/>
  <c r="L126" s="1"/>
  <c r="K121"/>
  <c r="L121" s="1"/>
  <c r="K98"/>
  <c r="L98" s="1"/>
  <c r="K210"/>
  <c r="L210" s="1"/>
  <c r="K101"/>
  <c r="L101" s="1"/>
  <c r="K187"/>
  <c r="L187" s="1"/>
  <c r="K140"/>
  <c r="L140" s="1"/>
  <c r="J140" s="1"/>
  <c r="K156"/>
  <c r="L156" s="1"/>
  <c r="K155"/>
  <c r="L155" s="1"/>
  <c r="K143" i="6"/>
  <c r="L143" s="1"/>
  <c r="K16"/>
  <c r="L16" s="1"/>
  <c r="K165"/>
  <c r="L165" s="1"/>
  <c r="K123"/>
  <c r="L123" s="1"/>
  <c r="K64"/>
  <c r="L64" s="1"/>
  <c r="K65"/>
  <c r="L65" s="1"/>
  <c r="K224"/>
  <c r="L224" s="1"/>
  <c r="K132"/>
  <c r="L132" s="1"/>
  <c r="K68"/>
  <c r="L68" s="1"/>
  <c r="K56"/>
  <c r="L56" s="1"/>
  <c r="J56" s="1"/>
  <c r="K171"/>
  <c r="L171" s="1"/>
  <c r="K97"/>
  <c r="L97" s="1"/>
  <c r="K90"/>
  <c r="L90" s="1"/>
  <c r="K32"/>
  <c r="L32" s="1"/>
  <c r="K23"/>
  <c r="L23" s="1"/>
  <c r="K162"/>
  <c r="L162" s="1"/>
  <c r="K205"/>
  <c r="L205" s="1"/>
  <c r="K185"/>
  <c r="L185" s="1"/>
  <c r="K35"/>
  <c r="L35" s="1"/>
  <c r="K184"/>
  <c r="L184" s="1"/>
  <c r="K59"/>
  <c r="L59" s="1"/>
  <c r="K28"/>
  <c r="L28" s="1"/>
  <c r="K227"/>
  <c r="L227" s="1"/>
  <c r="K170"/>
  <c r="L170" s="1"/>
  <c r="K128"/>
  <c r="L128" s="1"/>
  <c r="K2"/>
  <c r="L2" s="1"/>
  <c r="K8"/>
  <c r="L8" s="1"/>
  <c r="K88"/>
  <c r="L88" s="1"/>
  <c r="K230"/>
  <c r="L230" s="1"/>
  <c r="K176"/>
  <c r="L176" s="1"/>
  <c r="K221"/>
  <c r="L221" s="1"/>
  <c r="K127"/>
  <c r="L127" s="1"/>
  <c r="K72"/>
  <c r="L72" s="1"/>
  <c r="K228"/>
  <c r="L228" s="1"/>
  <c r="K85"/>
  <c r="L85" s="1"/>
  <c r="K45"/>
  <c r="L45" s="1"/>
  <c r="K96"/>
  <c r="L96" s="1"/>
  <c r="K196"/>
  <c r="L196" s="1"/>
  <c r="K164"/>
  <c r="L164" s="1"/>
  <c r="K153"/>
  <c r="L153" s="1"/>
  <c r="K11"/>
  <c r="L11" s="1"/>
  <c r="K47"/>
  <c r="L47" s="1"/>
  <c r="K215"/>
  <c r="L215" s="1"/>
  <c r="K159"/>
  <c r="L159" s="1"/>
  <c r="K115"/>
  <c r="L115" s="1"/>
  <c r="K91"/>
  <c r="L91" s="1"/>
  <c r="K129"/>
  <c r="L129" s="1"/>
  <c r="K229"/>
  <c r="L229" s="1"/>
  <c r="K55"/>
  <c r="L55" s="1"/>
  <c r="K210"/>
  <c r="L210" s="1"/>
  <c r="K46"/>
  <c r="L46" s="1"/>
  <c r="K179"/>
  <c r="L179" s="1"/>
  <c r="K80"/>
  <c r="L80" s="1"/>
  <c r="K122"/>
  <c r="L122" s="1"/>
  <c r="K114"/>
  <c r="L114" s="1"/>
  <c r="K106"/>
  <c r="L106" s="1"/>
  <c r="K194"/>
  <c r="L194" s="1"/>
  <c r="K181"/>
  <c r="L181" s="1"/>
  <c r="K187"/>
  <c r="L187" s="1"/>
  <c r="K78"/>
  <c r="L78" s="1"/>
  <c r="K214"/>
  <c r="L214" s="1"/>
  <c r="K180"/>
  <c r="L180" s="1"/>
  <c r="K223"/>
  <c r="L223" s="1"/>
  <c r="K163"/>
  <c r="L163" s="1"/>
  <c r="K182"/>
  <c r="L182" s="1"/>
  <c r="K151"/>
  <c r="L151" s="1"/>
  <c r="K183"/>
  <c r="L183" s="1"/>
  <c r="K201"/>
  <c r="L201" s="1"/>
  <c r="K241"/>
  <c r="L241" s="1"/>
  <c r="K31"/>
  <c r="L31" s="1"/>
  <c r="K200"/>
  <c r="L200" s="1"/>
  <c r="K6"/>
  <c r="L6" s="1"/>
  <c r="K154"/>
  <c r="L154" s="1"/>
  <c r="K98"/>
  <c r="L98" s="1"/>
  <c r="K73"/>
  <c r="L73" s="1"/>
  <c r="K131"/>
  <c r="L131" s="1"/>
  <c r="K108"/>
  <c r="L108" s="1"/>
  <c r="K94"/>
  <c r="L94" s="1"/>
  <c r="K29"/>
  <c r="L29" s="1"/>
  <c r="K130"/>
  <c r="L130" s="1"/>
  <c r="K25"/>
  <c r="L25" s="1"/>
  <c r="K40"/>
  <c r="L40" s="1"/>
  <c r="K100"/>
  <c r="L100" s="1"/>
  <c r="K216"/>
  <c r="L216" s="1"/>
  <c r="K43"/>
  <c r="L43" s="1"/>
  <c r="K22"/>
  <c r="L22" s="1"/>
  <c r="K86"/>
  <c r="L86" s="1"/>
  <c r="K145"/>
  <c r="L145" s="1"/>
  <c r="K236"/>
  <c r="L236" s="1"/>
  <c r="K61"/>
  <c r="L61" s="1"/>
  <c r="K9"/>
  <c r="L9" s="1"/>
  <c r="K52"/>
  <c r="L52" s="1"/>
  <c r="K209"/>
  <c r="L209" s="1"/>
  <c r="K39"/>
  <c r="L39" s="1"/>
  <c r="K140"/>
  <c r="L140" s="1"/>
  <c r="K79"/>
  <c r="L79" s="1"/>
  <c r="K81"/>
  <c r="L81" s="1"/>
  <c r="K82"/>
  <c r="L82" s="1"/>
  <c r="M82" s="1"/>
  <c r="K5"/>
  <c r="L5" s="1"/>
  <c r="K172"/>
  <c r="L172" s="1"/>
  <c r="K144"/>
  <c r="L144" s="1"/>
  <c r="K166"/>
  <c r="L166" s="1"/>
  <c r="K207"/>
  <c r="L207" s="1"/>
  <c r="K27"/>
  <c r="L27" s="1"/>
  <c r="K174"/>
  <c r="L174" s="1"/>
  <c r="K110"/>
  <c r="L110" s="1"/>
  <c r="K212"/>
  <c r="L212" s="1"/>
  <c r="M232" i="7"/>
  <c r="M238"/>
  <c r="M191"/>
  <c r="M27" i="5"/>
  <c r="N52" i="3"/>
  <c r="C40" i="11" s="1"/>
  <c r="E40" s="1"/>
  <c r="J164" i="7"/>
  <c r="G67" i="8"/>
  <c r="E67" s="1"/>
  <c r="G63"/>
  <c r="E63" s="1"/>
  <c r="J78" i="7"/>
  <c r="O145" i="3"/>
  <c r="A142" s="1"/>
  <c r="O159"/>
  <c r="O131"/>
  <c r="G234" i="4"/>
  <c r="G232"/>
  <c r="G210"/>
  <c r="G208"/>
  <c r="E83"/>
  <c r="E36"/>
  <c r="E34"/>
  <c r="E32"/>
  <c r="E30"/>
  <c r="E28"/>
  <c r="E26"/>
  <c r="E16"/>
  <c r="E13"/>
  <c r="E11"/>
  <c r="E9"/>
  <c r="E7"/>
  <c r="E5"/>
  <c r="E3"/>
  <c r="E14"/>
  <c r="M253" i="3"/>
  <c r="E18" i="8"/>
  <c r="E27"/>
  <c r="E43"/>
  <c r="E59"/>
  <c r="M234" i="3"/>
  <c r="M260"/>
  <c r="M262"/>
  <c r="N262" s="1"/>
  <c r="C220" i="11" s="1"/>
  <c r="E220" s="1"/>
  <c r="M267" i="3"/>
  <c r="M281"/>
  <c r="M239"/>
  <c r="M248"/>
  <c r="M209"/>
  <c r="N209" s="1"/>
  <c r="C175" i="11" s="1"/>
  <c r="E175" s="1"/>
  <c r="N205" i="3"/>
  <c r="N193"/>
  <c r="C161" i="11" s="1"/>
  <c r="E161" s="1"/>
  <c r="N179" i="3"/>
  <c r="N167"/>
  <c r="N111"/>
  <c r="N95"/>
  <c r="B5" i="10"/>
  <c r="D5" s="1"/>
  <c r="A30" i="3"/>
  <c r="C42" i="11"/>
  <c r="E42" s="1"/>
  <c r="M83" i="5"/>
  <c r="J83"/>
  <c r="M238"/>
  <c r="J238"/>
  <c r="J216"/>
  <c r="M216"/>
  <c r="J66"/>
  <c r="M66"/>
  <c r="M123"/>
  <c r="J123"/>
  <c r="M186"/>
  <c r="J186"/>
  <c r="J195"/>
  <c r="M195"/>
  <c r="M73"/>
  <c r="J73"/>
  <c r="J162"/>
  <c r="M162"/>
  <c r="M220"/>
  <c r="J220"/>
  <c r="M37"/>
  <c r="J37"/>
  <c r="M39"/>
  <c r="M235"/>
  <c r="J235"/>
  <c r="J232"/>
  <c r="M232"/>
  <c r="J88"/>
  <c r="M88"/>
  <c r="M156"/>
  <c r="J156"/>
  <c r="M113"/>
  <c r="J113"/>
  <c r="J128"/>
  <c r="M128"/>
  <c r="J122"/>
  <c r="M122"/>
  <c r="J48"/>
  <c r="M48"/>
  <c r="J102"/>
  <c r="M102"/>
  <c r="J142"/>
  <c r="M142"/>
  <c r="M97"/>
  <c r="J97"/>
  <c r="A66" i="3"/>
  <c r="O139"/>
  <c r="O195"/>
  <c r="A37"/>
  <c r="M8" i="5"/>
  <c r="J167"/>
  <c r="J39"/>
  <c r="M5"/>
  <c r="J194"/>
  <c r="M17"/>
  <c r="M181"/>
  <c r="M12"/>
  <c r="M112"/>
  <c r="J217"/>
  <c r="M68"/>
  <c r="M52"/>
  <c r="J158"/>
  <c r="M164"/>
  <c r="J153"/>
  <c r="M166"/>
  <c r="M40"/>
  <c r="J215"/>
  <c r="M103"/>
  <c r="J227"/>
  <c r="J4"/>
  <c r="M212"/>
  <c r="J200"/>
  <c r="M90"/>
  <c r="M218"/>
  <c r="M77" i="6"/>
  <c r="J77"/>
  <c r="J82"/>
  <c r="C183" i="11"/>
  <c r="E183" s="1"/>
  <c r="O223" i="3"/>
  <c r="M155" i="7"/>
  <c r="J155"/>
  <c r="K147"/>
  <c r="L147" s="1"/>
  <c r="K223"/>
  <c r="L223" s="1"/>
  <c r="K161"/>
  <c r="L161" s="1"/>
  <c r="K72"/>
  <c r="L72" s="1"/>
  <c r="K154"/>
  <c r="L154" s="1"/>
  <c r="K100"/>
  <c r="L100" s="1"/>
  <c r="K222"/>
  <c r="L222" s="1"/>
  <c r="K64"/>
  <c r="L64" s="1"/>
  <c r="K109"/>
  <c r="L109" s="1"/>
  <c r="K208"/>
  <c r="L208" s="1"/>
  <c r="K85"/>
  <c r="L85" s="1"/>
  <c r="K49"/>
  <c r="L49" s="1"/>
  <c r="K236"/>
  <c r="L236" s="1"/>
  <c r="K48"/>
  <c r="L48" s="1"/>
  <c r="K209"/>
  <c r="L209" s="1"/>
  <c r="K141"/>
  <c r="L141" s="1"/>
  <c r="K44"/>
  <c r="L44" s="1"/>
  <c r="K54"/>
  <c r="L54" s="1"/>
  <c r="K96"/>
  <c r="L96" s="1"/>
  <c r="K181"/>
  <c r="L181" s="1"/>
  <c r="K67"/>
  <c r="L67" s="1"/>
  <c r="K173"/>
  <c r="L173" s="1"/>
  <c r="K152"/>
  <c r="L152" s="1"/>
  <c r="K114"/>
  <c r="L114" s="1"/>
  <c r="K10"/>
  <c r="L10" s="1"/>
  <c r="K12"/>
  <c r="L12" s="1"/>
  <c r="K202"/>
  <c r="L202" s="1"/>
  <c r="K5"/>
  <c r="L5" s="1"/>
  <c r="K112"/>
  <c r="L112" s="1"/>
  <c r="K99"/>
  <c r="L99" s="1"/>
  <c r="K46"/>
  <c r="L46" s="1"/>
  <c r="K94"/>
  <c r="L94" s="1"/>
  <c r="K146"/>
  <c r="L146" s="1"/>
  <c r="K26"/>
  <c r="L26" s="1"/>
  <c r="K11"/>
  <c r="L11" s="1"/>
  <c r="K6"/>
  <c r="L6" s="1"/>
  <c r="K29"/>
  <c r="L29" s="1"/>
  <c r="K128"/>
  <c r="L128" s="1"/>
  <c r="K217"/>
  <c r="L217" s="1"/>
  <c r="K7"/>
  <c r="L7" s="1"/>
  <c r="K205"/>
  <c r="L205" s="1"/>
  <c r="K81"/>
  <c r="L81" s="1"/>
  <c r="K129"/>
  <c r="L129" s="1"/>
  <c r="K61"/>
  <c r="L61" s="1"/>
  <c r="K24"/>
  <c r="L24" s="1"/>
  <c r="K111"/>
  <c r="L111" s="1"/>
  <c r="K80"/>
  <c r="L80" s="1"/>
  <c r="K25"/>
  <c r="L25" s="1"/>
  <c r="K160"/>
  <c r="L160" s="1"/>
  <c r="K231"/>
  <c r="L231" s="1"/>
  <c r="K204"/>
  <c r="L204" s="1"/>
  <c r="K55"/>
  <c r="L55" s="1"/>
  <c r="K237"/>
  <c r="L237" s="1"/>
  <c r="K197"/>
  <c r="L197" s="1"/>
  <c r="K27"/>
  <c r="L27" s="1"/>
  <c r="K59"/>
  <c r="L59" s="1"/>
  <c r="K107"/>
  <c r="L107" s="1"/>
  <c r="K157"/>
  <c r="L157" s="1"/>
  <c r="K74"/>
  <c r="L74" s="1"/>
  <c r="K68"/>
  <c r="L68" s="1"/>
  <c r="K229"/>
  <c r="L229" s="1"/>
  <c r="K105"/>
  <c r="L105" s="1"/>
  <c r="K42"/>
  <c r="L42" s="1"/>
  <c r="K192"/>
  <c r="L192" s="1"/>
  <c r="K150"/>
  <c r="L150" s="1"/>
  <c r="K75"/>
  <c r="L75" s="1"/>
  <c r="K185"/>
  <c r="L185" s="1"/>
  <c r="K218"/>
  <c r="L218" s="1"/>
  <c r="K18"/>
  <c r="L18" s="1"/>
  <c r="K117"/>
  <c r="L117" s="1"/>
  <c r="K165"/>
  <c r="L165" s="1"/>
  <c r="K76"/>
  <c r="L76" s="1"/>
  <c r="K62"/>
  <c r="L62" s="1"/>
  <c r="K145"/>
  <c r="L145" s="1"/>
  <c r="K2"/>
  <c r="L2" s="1"/>
  <c r="K240"/>
  <c r="L240" s="1"/>
  <c r="K124"/>
  <c r="L124" s="1"/>
  <c r="K127"/>
  <c r="L127" s="1"/>
  <c r="K213"/>
  <c r="L213" s="1"/>
  <c r="K183"/>
  <c r="L183" s="1"/>
  <c r="K203"/>
  <c r="L203" s="1"/>
  <c r="K30"/>
  <c r="L30" s="1"/>
  <c r="K4"/>
  <c r="L4" s="1"/>
  <c r="K97"/>
  <c r="L97" s="1"/>
  <c r="K43"/>
  <c r="L43" s="1"/>
  <c r="K110"/>
  <c r="L110" s="1"/>
  <c r="K159"/>
  <c r="L159" s="1"/>
  <c r="K234"/>
  <c r="L234" s="1"/>
  <c r="K63"/>
  <c r="L63" s="1"/>
  <c r="K190"/>
  <c r="L190" s="1"/>
  <c r="K9"/>
  <c r="L9" s="1"/>
  <c r="K130"/>
  <c r="L130" s="1"/>
  <c r="K118"/>
  <c r="L118" s="1"/>
  <c r="K184"/>
  <c r="L184" s="1"/>
  <c r="K131"/>
  <c r="L131" s="1"/>
  <c r="K198"/>
  <c r="L198" s="1"/>
  <c r="K139"/>
  <c r="L139" s="1"/>
  <c r="K233"/>
  <c r="L233" s="1"/>
  <c r="K196"/>
  <c r="L196" s="1"/>
  <c r="K194"/>
  <c r="L194" s="1"/>
  <c r="K20"/>
  <c r="L20" s="1"/>
  <c r="K3"/>
  <c r="L3" s="1"/>
  <c r="K230"/>
  <c r="L230" s="1"/>
  <c r="K199"/>
  <c r="L199" s="1"/>
  <c r="K132"/>
  <c r="L132" s="1"/>
  <c r="K201"/>
  <c r="L201" s="1"/>
  <c r="K17"/>
  <c r="L17" s="1"/>
  <c r="K195"/>
  <c r="L195" s="1"/>
  <c r="K53"/>
  <c r="L53" s="1"/>
  <c r="K171"/>
  <c r="L171" s="1"/>
  <c r="K227"/>
  <c r="L227" s="1"/>
  <c r="K136"/>
  <c r="L136" s="1"/>
  <c r="K84"/>
  <c r="L84" s="1"/>
  <c r="K186"/>
  <c r="L186" s="1"/>
  <c r="K122"/>
  <c r="L122" s="1"/>
  <c r="K149"/>
  <c r="L149" s="1"/>
  <c r="K36"/>
  <c r="L36" s="1"/>
  <c r="K50"/>
  <c r="L50" s="1"/>
  <c r="K13"/>
  <c r="L13" s="1"/>
  <c r="K206"/>
  <c r="L206" s="1"/>
  <c r="K120"/>
  <c r="L120" s="1"/>
  <c r="K22"/>
  <c r="L22" s="1"/>
  <c r="K182"/>
  <c r="L182" s="1"/>
  <c r="K32"/>
  <c r="L32" s="1"/>
  <c r="K207"/>
  <c r="L207" s="1"/>
  <c r="K79"/>
  <c r="L79" s="1"/>
  <c r="K57"/>
  <c r="L57" s="1"/>
  <c r="K220"/>
  <c r="L220" s="1"/>
  <c r="K241"/>
  <c r="L241" s="1"/>
  <c r="K8"/>
  <c r="L8" s="1"/>
  <c r="K135"/>
  <c r="L135" s="1"/>
  <c r="K228"/>
  <c r="L228" s="1"/>
  <c r="K148"/>
  <c r="L148" s="1"/>
  <c r="K193"/>
  <c r="L193" s="1"/>
  <c r="G218" i="4"/>
  <c r="E218"/>
  <c r="E216"/>
  <c r="G216"/>
  <c r="E214"/>
  <c r="G214"/>
  <c r="G125"/>
  <c r="E125"/>
  <c r="G81"/>
  <c r="E81"/>
  <c r="G70"/>
  <c r="E70" s="1"/>
  <c r="G66"/>
  <c r="E66" s="1"/>
  <c r="G62"/>
  <c r="E62" s="1"/>
  <c r="G58"/>
  <c r="E58" s="1"/>
  <c r="G54"/>
  <c r="E54" s="1"/>
  <c r="G50"/>
  <c r="E50" s="1"/>
  <c r="G46"/>
  <c r="E46" s="1"/>
  <c r="G42"/>
  <c r="E42" s="1"/>
  <c r="G38"/>
  <c r="E38" s="1"/>
  <c r="G14" i="8"/>
  <c r="E14" s="1"/>
  <c r="G21"/>
  <c r="E21" s="1"/>
  <c r="G53"/>
  <c r="E53" s="1"/>
  <c r="G58"/>
  <c r="E58" s="1"/>
  <c r="G108"/>
  <c r="E108"/>
  <c r="E105"/>
  <c r="G105"/>
  <c r="M140" i="7"/>
  <c r="J115"/>
  <c r="O208" i="3"/>
  <c r="B21" i="10"/>
  <c r="D21" s="1"/>
  <c r="E71" i="8"/>
  <c r="B33" i="10"/>
  <c r="D33" s="1"/>
  <c r="A226" i="3"/>
  <c r="N275"/>
  <c r="O278"/>
  <c r="G230" i="4"/>
  <c r="E230"/>
  <c r="E228"/>
  <c r="G228"/>
  <c r="E226"/>
  <c r="G226"/>
  <c r="G145"/>
  <c r="E145"/>
  <c r="G97"/>
  <c r="E97"/>
  <c r="G72"/>
  <c r="E72"/>
  <c r="G68"/>
  <c r="E68"/>
  <c r="G64"/>
  <c r="E64"/>
  <c r="G60"/>
  <c r="E60"/>
  <c r="G56"/>
  <c r="E56"/>
  <c r="G52"/>
  <c r="E52"/>
  <c r="G48"/>
  <c r="E48"/>
  <c r="G44"/>
  <c r="E44"/>
  <c r="G40"/>
  <c r="E40"/>
  <c r="E202"/>
  <c r="G202"/>
  <c r="G3" i="8"/>
  <c r="E3"/>
  <c r="G20"/>
  <c r="E20"/>
  <c r="G45"/>
  <c r="E45"/>
  <c r="G76"/>
  <c r="E76"/>
  <c r="E29"/>
  <c r="E35"/>
  <c r="E69"/>
  <c r="G204"/>
  <c r="G216"/>
  <c r="G221"/>
  <c r="G228"/>
  <c r="E232"/>
  <c r="E230"/>
  <c r="E208"/>
  <c r="E206"/>
  <c r="G194"/>
  <c r="G184"/>
  <c r="G180"/>
  <c r="G170"/>
  <c r="E150"/>
  <c r="E134"/>
  <c r="E118"/>
  <c r="C77" i="11" l="1"/>
  <c r="E77" s="1"/>
  <c r="O97" i="3"/>
  <c r="C139" i="11"/>
  <c r="E139" s="1"/>
  <c r="O167" i="3"/>
  <c r="N239"/>
  <c r="O243"/>
  <c r="N267"/>
  <c r="O271"/>
  <c r="O264"/>
  <c r="N260"/>
  <c r="N253"/>
  <c r="O257"/>
  <c r="B19" i="10"/>
  <c r="D19" s="1"/>
  <c r="A128" i="3"/>
  <c r="M212" i="6"/>
  <c r="J212"/>
  <c r="J174"/>
  <c r="M174"/>
  <c r="J207"/>
  <c r="M207"/>
  <c r="J144"/>
  <c r="M144"/>
  <c r="J5"/>
  <c r="M5"/>
  <c r="M81"/>
  <c r="J81"/>
  <c r="J140"/>
  <c r="M140"/>
  <c r="J209"/>
  <c r="M209"/>
  <c r="M9"/>
  <c r="J9"/>
  <c r="J236"/>
  <c r="M236"/>
  <c r="M86"/>
  <c r="J86"/>
  <c r="M43"/>
  <c r="J43"/>
  <c r="J100"/>
  <c r="M100"/>
  <c r="J25"/>
  <c r="M25"/>
  <c r="M29"/>
  <c r="J29"/>
  <c r="M108"/>
  <c r="J108"/>
  <c r="J73"/>
  <c r="M73"/>
  <c r="J154"/>
  <c r="M154"/>
  <c r="M200"/>
  <c r="J200"/>
  <c r="M241"/>
  <c r="J241"/>
  <c r="J183"/>
  <c r="M183"/>
  <c r="M182"/>
  <c r="J182"/>
  <c r="J223"/>
  <c r="M223"/>
  <c r="M214"/>
  <c r="J214"/>
  <c r="M187"/>
  <c r="J187"/>
  <c r="M194"/>
  <c r="J194"/>
  <c r="M114"/>
  <c r="J114"/>
  <c r="J80"/>
  <c r="M80"/>
  <c r="M46"/>
  <c r="J46"/>
  <c r="J55"/>
  <c r="M55"/>
  <c r="M129"/>
  <c r="J129"/>
  <c r="M115"/>
  <c r="J115"/>
  <c r="M215"/>
  <c r="J215"/>
  <c r="J11"/>
  <c r="M11"/>
  <c r="J164"/>
  <c r="M164"/>
  <c r="M96"/>
  <c r="J96"/>
  <c r="J85"/>
  <c r="M85"/>
  <c r="M72"/>
  <c r="J72"/>
  <c r="M221"/>
  <c r="J221"/>
  <c r="M230"/>
  <c r="J230"/>
  <c r="J8"/>
  <c r="M8"/>
  <c r="J128"/>
  <c r="M128"/>
  <c r="J227"/>
  <c r="M227"/>
  <c r="M59"/>
  <c r="J59"/>
  <c r="M35"/>
  <c r="J35"/>
  <c r="M205"/>
  <c r="J205"/>
  <c r="J23"/>
  <c r="M23"/>
  <c r="M90"/>
  <c r="J90"/>
  <c r="J171"/>
  <c r="M171"/>
  <c r="M68"/>
  <c r="J68"/>
  <c r="M224"/>
  <c r="J224"/>
  <c r="M64"/>
  <c r="J64"/>
  <c r="M165"/>
  <c r="J165"/>
  <c r="M143"/>
  <c r="J143"/>
  <c r="J156" i="7"/>
  <c r="M156"/>
  <c r="M187"/>
  <c r="J187"/>
  <c r="M210"/>
  <c r="J210"/>
  <c r="M121"/>
  <c r="J121"/>
  <c r="M41"/>
  <c r="J41"/>
  <c r="J167"/>
  <c r="M167"/>
  <c r="M180"/>
  <c r="J180"/>
  <c r="M89"/>
  <c r="J89"/>
  <c r="M60"/>
  <c r="J60"/>
  <c r="J108"/>
  <c r="M108"/>
  <c r="J151"/>
  <c r="M151"/>
  <c r="M138"/>
  <c r="J138"/>
  <c r="J189"/>
  <c r="M189"/>
  <c r="J83"/>
  <c r="M83"/>
  <c r="J170"/>
  <c r="M170"/>
  <c r="M166"/>
  <c r="J166"/>
  <c r="J90"/>
  <c r="M90"/>
  <c r="J168"/>
  <c r="M168"/>
  <c r="J104"/>
  <c r="M104"/>
  <c r="M214"/>
  <c r="J214"/>
  <c r="M37"/>
  <c r="J37"/>
  <c r="M113"/>
  <c r="J113"/>
  <c r="M35"/>
  <c r="J35"/>
  <c r="M163"/>
  <c r="J163"/>
  <c r="J77"/>
  <c r="M77"/>
  <c r="M224"/>
  <c r="J224"/>
  <c r="J82"/>
  <c r="M82"/>
  <c r="J200"/>
  <c r="M200"/>
  <c r="M175"/>
  <c r="J175"/>
  <c r="J119"/>
  <c r="M119"/>
  <c r="J70"/>
  <c r="M70"/>
  <c r="J143"/>
  <c r="M143"/>
  <c r="J153"/>
  <c r="M153"/>
  <c r="M51"/>
  <c r="J51"/>
  <c r="J225"/>
  <c r="M225"/>
  <c r="J123"/>
  <c r="M123"/>
  <c r="J65"/>
  <c r="M65"/>
  <c r="M174"/>
  <c r="J174"/>
  <c r="J142"/>
  <c r="M142"/>
  <c r="J144"/>
  <c r="M144"/>
  <c r="J19"/>
  <c r="M19"/>
  <c r="J219"/>
  <c r="M219"/>
  <c r="M73"/>
  <c r="J73"/>
  <c r="M178"/>
  <c r="J178"/>
  <c r="J71"/>
  <c r="M71"/>
  <c r="A185" i="3"/>
  <c r="B27" i="9"/>
  <c r="D27" s="1"/>
  <c r="A171" i="3"/>
  <c r="B25" i="9"/>
  <c r="D25" s="1"/>
  <c r="B21"/>
  <c r="D21" s="1"/>
  <c r="A143" i="3"/>
  <c r="B15" i="9"/>
  <c r="D15" s="1"/>
  <c r="A101" i="3"/>
  <c r="A219"/>
  <c r="B32" i="10"/>
  <c r="D32" s="1"/>
  <c r="O55" i="3"/>
  <c r="M239" i="7"/>
  <c r="M235"/>
  <c r="C91" i="11"/>
  <c r="E91" s="1"/>
  <c r="O111" i="3"/>
  <c r="C149" i="11"/>
  <c r="E149" s="1"/>
  <c r="O181" i="3"/>
  <c r="C171" i="11"/>
  <c r="E171" s="1"/>
  <c r="O209" i="3"/>
  <c r="N248"/>
  <c r="O250"/>
  <c r="N281"/>
  <c r="O285"/>
  <c r="N234"/>
  <c r="O236"/>
  <c r="A156"/>
  <c r="B23" i="10"/>
  <c r="D23" s="1"/>
  <c r="M110" i="6"/>
  <c r="J110"/>
  <c r="J27"/>
  <c r="M27"/>
  <c r="J166"/>
  <c r="M166"/>
  <c r="M172"/>
  <c r="J172"/>
  <c r="J79"/>
  <c r="M79"/>
  <c r="J39"/>
  <c r="M39"/>
  <c r="J52"/>
  <c r="M52"/>
  <c r="J61"/>
  <c r="M61"/>
  <c r="M145"/>
  <c r="J145"/>
  <c r="M22"/>
  <c r="J22"/>
  <c r="M216"/>
  <c r="J216"/>
  <c r="J40"/>
  <c r="M40"/>
  <c r="J130"/>
  <c r="M130"/>
  <c r="J94"/>
  <c r="M94"/>
  <c r="J131"/>
  <c r="M131"/>
  <c r="M98"/>
  <c r="J98"/>
  <c r="J6"/>
  <c r="M6"/>
  <c r="M31"/>
  <c r="J31"/>
  <c r="M201"/>
  <c r="J201"/>
  <c r="M151"/>
  <c r="J151"/>
  <c r="M163"/>
  <c r="J163"/>
  <c r="J180"/>
  <c r="M180"/>
  <c r="J78"/>
  <c r="M78"/>
  <c r="J181"/>
  <c r="M181"/>
  <c r="M106"/>
  <c r="J106"/>
  <c r="J122"/>
  <c r="M122"/>
  <c r="M179"/>
  <c r="J179"/>
  <c r="J210"/>
  <c r="M210"/>
  <c r="M229"/>
  <c r="J229"/>
  <c r="M91"/>
  <c r="J91"/>
  <c r="J159"/>
  <c r="M159"/>
  <c r="M47"/>
  <c r="J47"/>
  <c r="J153"/>
  <c r="M153"/>
  <c r="M196"/>
  <c r="J196"/>
  <c r="M45"/>
  <c r="J45"/>
  <c r="M228"/>
  <c r="J228"/>
  <c r="M127"/>
  <c r="J127"/>
  <c r="M176"/>
  <c r="J176"/>
  <c r="J88"/>
  <c r="M88"/>
  <c r="J2"/>
  <c r="M2"/>
  <c r="J170"/>
  <c r="M170"/>
  <c r="J28"/>
  <c r="M28"/>
  <c r="M184"/>
  <c r="J184"/>
  <c r="M185"/>
  <c r="J185"/>
  <c r="M162"/>
  <c r="J162"/>
  <c r="M32"/>
  <c r="J32"/>
  <c r="M97"/>
  <c r="J97"/>
  <c r="J132"/>
  <c r="M132"/>
  <c r="J65"/>
  <c r="M65"/>
  <c r="J123"/>
  <c r="M123"/>
  <c r="J16"/>
  <c r="M16"/>
  <c r="M101" i="7"/>
  <c r="J101"/>
  <c r="J98"/>
  <c r="M98"/>
  <c r="M126"/>
  <c r="J126"/>
  <c r="M21"/>
  <c r="J21"/>
  <c r="M92"/>
  <c r="J92"/>
  <c r="J66"/>
  <c r="M66"/>
  <c r="J158"/>
  <c r="M158"/>
  <c r="J137"/>
  <c r="M137"/>
  <c r="J88"/>
  <c r="M88"/>
  <c r="M58"/>
  <c r="J58"/>
  <c r="J106"/>
  <c r="M106"/>
  <c r="M56"/>
  <c r="J56"/>
  <c r="J40"/>
  <c r="M40"/>
  <c r="J215"/>
  <c r="M215"/>
  <c r="J52"/>
  <c r="M52"/>
  <c r="J28"/>
  <c r="M28"/>
  <c r="M91"/>
  <c r="J91"/>
  <c r="M38"/>
  <c r="J38"/>
  <c r="J87"/>
  <c r="M87"/>
  <c r="M134"/>
  <c r="J134"/>
  <c r="M86"/>
  <c r="J86"/>
  <c r="M93"/>
  <c r="J93"/>
  <c r="J102"/>
  <c r="M102"/>
  <c r="M162"/>
  <c r="J162"/>
  <c r="J95"/>
  <c r="M95"/>
  <c r="M47"/>
  <c r="J47"/>
  <c r="M212"/>
  <c r="J212"/>
  <c r="J179"/>
  <c r="M179"/>
  <c r="J226"/>
  <c r="M226"/>
  <c r="M221"/>
  <c r="J221"/>
  <c r="M133"/>
  <c r="J133"/>
  <c r="J69"/>
  <c r="M69"/>
  <c r="J45"/>
  <c r="M45"/>
  <c r="J39"/>
  <c r="M39"/>
  <c r="J31"/>
  <c r="M31"/>
  <c r="M16"/>
  <c r="J16"/>
  <c r="M14"/>
  <c r="J14"/>
  <c r="M15"/>
  <c r="J15"/>
  <c r="M34"/>
  <c r="J34"/>
  <c r="J172"/>
  <c r="M172"/>
  <c r="J169"/>
  <c r="M169"/>
  <c r="M125"/>
  <c r="J125"/>
  <c r="J176"/>
  <c r="M176"/>
  <c r="M56" i="6"/>
  <c r="K158" i="4"/>
  <c r="L158" s="1"/>
  <c r="K187"/>
  <c r="L187" s="1"/>
  <c r="K179"/>
  <c r="L179" s="1"/>
  <c r="K19"/>
  <c r="L19" s="1"/>
  <c r="K141"/>
  <c r="L141" s="1"/>
  <c r="K133"/>
  <c r="L133" s="1"/>
  <c r="K170"/>
  <c r="L170" s="1"/>
  <c r="K39"/>
  <c r="L39" s="1"/>
  <c r="K10"/>
  <c r="L10" s="1"/>
  <c r="K78"/>
  <c r="L78" s="1"/>
  <c r="K194"/>
  <c r="L194" s="1"/>
  <c r="K87"/>
  <c r="L87" s="1"/>
  <c r="K197"/>
  <c r="L197" s="1"/>
  <c r="K41"/>
  <c r="L41" s="1"/>
  <c r="K52"/>
  <c r="L52" s="1"/>
  <c r="K24"/>
  <c r="L24" s="1"/>
  <c r="K193"/>
  <c r="L193" s="1"/>
  <c r="K6"/>
  <c r="L6" s="1"/>
  <c r="K50"/>
  <c r="L50" s="1"/>
  <c r="K230"/>
  <c r="L230" s="1"/>
  <c r="K12"/>
  <c r="L12" s="1"/>
  <c r="K206"/>
  <c r="L206" s="1"/>
  <c r="K105"/>
  <c r="L105" s="1"/>
  <c r="K152"/>
  <c r="L152" s="1"/>
  <c r="K240"/>
  <c r="L240" s="1"/>
  <c r="K232"/>
  <c r="L232" s="1"/>
  <c r="K69"/>
  <c r="L69" s="1"/>
  <c r="K186"/>
  <c r="L186" s="1"/>
  <c r="K200"/>
  <c r="L200" s="1"/>
  <c r="K183"/>
  <c r="L183" s="1"/>
  <c r="K64"/>
  <c r="L64" s="1"/>
  <c r="K185"/>
  <c r="L185" s="1"/>
  <c r="K58"/>
  <c r="L58" s="1"/>
  <c r="K202"/>
  <c r="L202" s="1"/>
  <c r="K175"/>
  <c r="L175" s="1"/>
  <c r="K49"/>
  <c r="L49" s="1"/>
  <c r="K235"/>
  <c r="L235" s="1"/>
  <c r="K231"/>
  <c r="L231" s="1"/>
  <c r="K46"/>
  <c r="L46" s="1"/>
  <c r="K217"/>
  <c r="L217" s="1"/>
  <c r="K16"/>
  <c r="L16" s="1"/>
  <c r="K211"/>
  <c r="L211" s="1"/>
  <c r="K171"/>
  <c r="L171" s="1"/>
  <c r="K128"/>
  <c r="L128" s="1"/>
  <c r="K25"/>
  <c r="L25" s="1"/>
  <c r="K15"/>
  <c r="L15" s="1"/>
  <c r="K42"/>
  <c r="L42" s="1"/>
  <c r="K169"/>
  <c r="L169" s="1"/>
  <c r="K236"/>
  <c r="L236" s="1"/>
  <c r="K189"/>
  <c r="L189" s="1"/>
  <c r="K174"/>
  <c r="L174" s="1"/>
  <c r="K113"/>
  <c r="L113" s="1"/>
  <c r="K223"/>
  <c r="L223" s="1"/>
  <c r="K85"/>
  <c r="L85" s="1"/>
  <c r="K148"/>
  <c r="L148" s="1"/>
  <c r="K205"/>
  <c r="L205" s="1"/>
  <c r="K162"/>
  <c r="L162" s="1"/>
  <c r="K159"/>
  <c r="L159" s="1"/>
  <c r="K130"/>
  <c r="L130" s="1"/>
  <c r="K154"/>
  <c r="L154" s="1"/>
  <c r="K77"/>
  <c r="L77" s="1"/>
  <c r="K3"/>
  <c r="L3" s="1"/>
  <c r="K17"/>
  <c r="L17" s="1"/>
  <c r="K156"/>
  <c r="L156" s="1"/>
  <c r="K228"/>
  <c r="L228" s="1"/>
  <c r="K120"/>
  <c r="L120" s="1"/>
  <c r="K26"/>
  <c r="L26" s="1"/>
  <c r="K8"/>
  <c r="L8" s="1"/>
  <c r="K83"/>
  <c r="L83" s="1"/>
  <c r="K37"/>
  <c r="L37" s="1"/>
  <c r="K168"/>
  <c r="L168" s="1"/>
  <c r="K208"/>
  <c r="L208" s="1"/>
  <c r="K123"/>
  <c r="L123" s="1"/>
  <c r="K47"/>
  <c r="L47" s="1"/>
  <c r="K44"/>
  <c r="L44" s="1"/>
  <c r="K220"/>
  <c r="L220" s="1"/>
  <c r="K225"/>
  <c r="L225" s="1"/>
  <c r="K117"/>
  <c r="L117" s="1"/>
  <c r="K103"/>
  <c r="L103" s="1"/>
  <c r="K178"/>
  <c r="L178" s="1"/>
  <c r="K180"/>
  <c r="L180" s="1"/>
  <c r="K172"/>
  <c r="L172" s="1"/>
  <c r="K20"/>
  <c r="L20" s="1"/>
  <c r="K56"/>
  <c r="L56" s="1"/>
  <c r="K104"/>
  <c r="L104" s="1"/>
  <c r="K66"/>
  <c r="L66" s="1"/>
  <c r="K161"/>
  <c r="L161" s="1"/>
  <c r="K97"/>
  <c r="L97" s="1"/>
  <c r="K129"/>
  <c r="L129" s="1"/>
  <c r="K137"/>
  <c r="L137" s="1"/>
  <c r="K73"/>
  <c r="L73" s="1"/>
  <c r="K139"/>
  <c r="L139" s="1"/>
  <c r="K184"/>
  <c r="L184" s="1"/>
  <c r="K90"/>
  <c r="L90" s="1"/>
  <c r="K209"/>
  <c r="L209" s="1"/>
  <c r="K13"/>
  <c r="L13" s="1"/>
  <c r="K33"/>
  <c r="L33" s="1"/>
  <c r="K181"/>
  <c r="L181" s="1"/>
  <c r="K118"/>
  <c r="L118" s="1"/>
  <c r="K48"/>
  <c r="L48" s="1"/>
  <c r="K182"/>
  <c r="L182" s="1"/>
  <c r="K196"/>
  <c r="L196" s="1"/>
  <c r="K201"/>
  <c r="L201" s="1"/>
  <c r="K89"/>
  <c r="L89" s="1"/>
  <c r="K31"/>
  <c r="L31" s="1"/>
  <c r="K35"/>
  <c r="L35" s="1"/>
  <c r="K11"/>
  <c r="L11" s="1"/>
  <c r="K219"/>
  <c r="L219" s="1"/>
  <c r="K92"/>
  <c r="L92" s="1"/>
  <c r="K74"/>
  <c r="L74" s="1"/>
  <c r="K108"/>
  <c r="L108" s="1"/>
  <c r="K27"/>
  <c r="L27" s="1"/>
  <c r="K203"/>
  <c r="L203" s="1"/>
  <c r="K167"/>
  <c r="L167" s="1"/>
  <c r="K191"/>
  <c r="L191" s="1"/>
  <c r="K51"/>
  <c r="L51" s="1"/>
  <c r="K71"/>
  <c r="L71" s="1"/>
  <c r="K127"/>
  <c r="L127" s="1"/>
  <c r="K165"/>
  <c r="L165" s="1"/>
  <c r="K102"/>
  <c r="L102" s="1"/>
  <c r="K86"/>
  <c r="L86" s="1"/>
  <c r="K224"/>
  <c r="L224" s="1"/>
  <c r="K138"/>
  <c r="L138" s="1"/>
  <c r="K204"/>
  <c r="L204" s="1"/>
  <c r="K140"/>
  <c r="L140" s="1"/>
  <c r="K110"/>
  <c r="L110" s="1"/>
  <c r="K94"/>
  <c r="L94" s="1"/>
  <c r="K96"/>
  <c r="L96" s="1"/>
  <c r="K198"/>
  <c r="L198" s="1"/>
  <c r="K57"/>
  <c r="L57" s="1"/>
  <c r="K79"/>
  <c r="L79" s="1"/>
  <c r="K38"/>
  <c r="L38" s="1"/>
  <c r="K213"/>
  <c r="L213" s="1"/>
  <c r="K67"/>
  <c r="L67" s="1"/>
  <c r="K59"/>
  <c r="L59" s="1"/>
  <c r="K160"/>
  <c r="L160" s="1"/>
  <c r="K142"/>
  <c r="L142" s="1"/>
  <c r="K173"/>
  <c r="L173" s="1"/>
  <c r="K222"/>
  <c r="L222" s="1"/>
  <c r="K163"/>
  <c r="L163" s="1"/>
  <c r="K101"/>
  <c r="L101" s="1"/>
  <c r="K63"/>
  <c r="L63" s="1"/>
  <c r="K82"/>
  <c r="L82" s="1"/>
  <c r="K93"/>
  <c r="L93" s="1"/>
  <c r="K227"/>
  <c r="L227" s="1"/>
  <c r="K62"/>
  <c r="L62" s="1"/>
  <c r="K18"/>
  <c r="L18" s="1"/>
  <c r="K109"/>
  <c r="L109" s="1"/>
  <c r="K210"/>
  <c r="L210" s="1"/>
  <c r="K214"/>
  <c r="L214" s="1"/>
  <c r="K91"/>
  <c r="L91" s="1"/>
  <c r="K119"/>
  <c r="L119" s="1"/>
  <c r="K88"/>
  <c r="L88" s="1"/>
  <c r="K111"/>
  <c r="L111" s="1"/>
  <c r="K84"/>
  <c r="L84" s="1"/>
  <c r="K72"/>
  <c r="L72" s="1"/>
  <c r="K226"/>
  <c r="L226" s="1"/>
  <c r="K237"/>
  <c r="L237" s="1"/>
  <c r="K76"/>
  <c r="L76" s="1"/>
  <c r="K234"/>
  <c r="L234" s="1"/>
  <c r="K239"/>
  <c r="L239" s="1"/>
  <c r="K122"/>
  <c r="L122" s="1"/>
  <c r="K7"/>
  <c r="L7" s="1"/>
  <c r="K95"/>
  <c r="L95" s="1"/>
  <c r="K115"/>
  <c r="L115" s="1"/>
  <c r="K55"/>
  <c r="L55" s="1"/>
  <c r="K106"/>
  <c r="L106" s="1"/>
  <c r="K218"/>
  <c r="L218" s="1"/>
  <c r="K136"/>
  <c r="L136" s="1"/>
  <c r="K215"/>
  <c r="L215" s="1"/>
  <c r="K5"/>
  <c r="L5" s="1"/>
  <c r="K146"/>
  <c r="L146" s="1"/>
  <c r="K149"/>
  <c r="L149" s="1"/>
  <c r="K60"/>
  <c r="L60" s="1"/>
  <c r="K112"/>
  <c r="L112" s="1"/>
  <c r="K98"/>
  <c r="L98" s="1"/>
  <c r="K164"/>
  <c r="L164" s="1"/>
  <c r="K135"/>
  <c r="L135" s="1"/>
  <c r="K80"/>
  <c r="L80" s="1"/>
  <c r="K192"/>
  <c r="L192" s="1"/>
  <c r="K61"/>
  <c r="L61" s="1"/>
  <c r="K36"/>
  <c r="L36" s="1"/>
  <c r="K166"/>
  <c r="L166" s="1"/>
  <c r="K99"/>
  <c r="L99" s="1"/>
  <c r="K177"/>
  <c r="L177" s="1"/>
  <c r="K153"/>
  <c r="L153" s="1"/>
  <c r="K65"/>
  <c r="L65" s="1"/>
  <c r="K68"/>
  <c r="L68" s="1"/>
  <c r="K199"/>
  <c r="L199" s="1"/>
  <c r="K147"/>
  <c r="L147" s="1"/>
  <c r="K75"/>
  <c r="L75" s="1"/>
  <c r="K14"/>
  <c r="L14" s="1"/>
  <c r="K132"/>
  <c r="L132" s="1"/>
  <c r="K207"/>
  <c r="L207" s="1"/>
  <c r="K45"/>
  <c r="L45" s="1"/>
  <c r="K190"/>
  <c r="L190" s="1"/>
  <c r="K34"/>
  <c r="L34" s="1"/>
  <c r="K81"/>
  <c r="L81" s="1"/>
  <c r="K2"/>
  <c r="L2" s="1"/>
  <c r="K116"/>
  <c r="L116" s="1"/>
  <c r="K241"/>
  <c r="L241" s="1"/>
  <c r="K126"/>
  <c r="L126" s="1"/>
  <c r="K216"/>
  <c r="L216" s="1"/>
  <c r="K145"/>
  <c r="L145" s="1"/>
  <c r="K107"/>
  <c r="L107" s="1"/>
  <c r="K144"/>
  <c r="L144" s="1"/>
  <c r="K143"/>
  <c r="L143" s="1"/>
  <c r="K40"/>
  <c r="L40" s="1"/>
  <c r="K9"/>
  <c r="L9" s="1"/>
  <c r="K229"/>
  <c r="L229" s="1"/>
  <c r="K155"/>
  <c r="L155" s="1"/>
  <c r="K100"/>
  <c r="L100" s="1"/>
  <c r="K21"/>
  <c r="L21" s="1"/>
  <c r="K22"/>
  <c r="L22" s="1"/>
  <c r="K151"/>
  <c r="L151" s="1"/>
  <c r="K238"/>
  <c r="L238" s="1"/>
  <c r="K114"/>
  <c r="L114" s="1"/>
  <c r="K54"/>
  <c r="L54" s="1"/>
  <c r="K131"/>
  <c r="L131" s="1"/>
  <c r="K195"/>
  <c r="L195" s="1"/>
  <c r="K125"/>
  <c r="L125" s="1"/>
  <c r="K70"/>
  <c r="L70" s="1"/>
  <c r="K32"/>
  <c r="L32" s="1"/>
  <c r="K212"/>
  <c r="L212" s="1"/>
  <c r="K124"/>
  <c r="L124" s="1"/>
  <c r="K29"/>
  <c r="L29" s="1"/>
  <c r="K28"/>
  <c r="L28" s="1"/>
  <c r="K157"/>
  <c r="L157" s="1"/>
  <c r="K23"/>
  <c r="L23" s="1"/>
  <c r="K134"/>
  <c r="L134" s="1"/>
  <c r="K233"/>
  <c r="L233" s="1"/>
  <c r="K4"/>
  <c r="L4" s="1"/>
  <c r="K43"/>
  <c r="L43" s="1"/>
  <c r="K121"/>
  <c r="L121" s="1"/>
  <c r="K221"/>
  <c r="L221" s="1"/>
  <c r="K53"/>
  <c r="L53" s="1"/>
  <c r="K150"/>
  <c r="L150" s="1"/>
  <c r="K176"/>
  <c r="L176" s="1"/>
  <c r="K30"/>
  <c r="L30" s="1"/>
  <c r="K188"/>
  <c r="L188" s="1"/>
  <c r="K14" i="8"/>
  <c r="L14" s="1"/>
  <c r="K73"/>
  <c r="L73" s="1"/>
  <c r="K178"/>
  <c r="L178" s="1"/>
  <c r="K124"/>
  <c r="L124" s="1"/>
  <c r="K139"/>
  <c r="L139" s="1"/>
  <c r="K118"/>
  <c r="L118" s="1"/>
  <c r="K141"/>
  <c r="L141" s="1"/>
  <c r="K213"/>
  <c r="L213" s="1"/>
  <c r="K13"/>
  <c r="L13" s="1"/>
  <c r="K32"/>
  <c r="L32" s="1"/>
  <c r="K47"/>
  <c r="L47" s="1"/>
  <c r="K236"/>
  <c r="L236" s="1"/>
  <c r="K208"/>
  <c r="L208" s="1"/>
  <c r="K150"/>
  <c r="L150" s="1"/>
  <c r="K182"/>
  <c r="L182" s="1"/>
  <c r="K204"/>
  <c r="L204" s="1"/>
  <c r="K64"/>
  <c r="L64" s="1"/>
  <c r="K128"/>
  <c r="L128" s="1"/>
  <c r="K239"/>
  <c r="L239" s="1"/>
  <c r="K156"/>
  <c r="L156" s="1"/>
  <c r="K131"/>
  <c r="L131" s="1"/>
  <c r="K51"/>
  <c r="L51" s="1"/>
  <c r="K212"/>
  <c r="L212" s="1"/>
  <c r="K98"/>
  <c r="L98" s="1"/>
  <c r="K116"/>
  <c r="L116" s="1"/>
  <c r="K200"/>
  <c r="L200" s="1"/>
  <c r="K153"/>
  <c r="L153" s="1"/>
  <c r="K2"/>
  <c r="L2" s="1"/>
  <c r="K225"/>
  <c r="L225" s="1"/>
  <c r="K211"/>
  <c r="L211" s="1"/>
  <c r="K97"/>
  <c r="L97" s="1"/>
  <c r="K115"/>
  <c r="L115" s="1"/>
  <c r="K35"/>
  <c r="L35" s="1"/>
  <c r="K189"/>
  <c r="L189" s="1"/>
  <c r="K220"/>
  <c r="L220" s="1"/>
  <c r="K84"/>
  <c r="L84" s="1"/>
  <c r="K20"/>
  <c r="L20" s="1"/>
  <c r="K120"/>
  <c r="L120" s="1"/>
  <c r="K158"/>
  <c r="L158" s="1"/>
  <c r="K53"/>
  <c r="L53" s="1"/>
  <c r="K142"/>
  <c r="L142" s="1"/>
  <c r="K22"/>
  <c r="L22" s="1"/>
  <c r="K38"/>
  <c r="L38" s="1"/>
  <c r="K86"/>
  <c r="L86" s="1"/>
  <c r="K163"/>
  <c r="L163" s="1"/>
  <c r="K191"/>
  <c r="L191" s="1"/>
  <c r="K92"/>
  <c r="L92" s="1"/>
  <c r="K240"/>
  <c r="L240" s="1"/>
  <c r="K198"/>
  <c r="L198" s="1"/>
  <c r="K179"/>
  <c r="L179" s="1"/>
  <c r="K50"/>
  <c r="L50" s="1"/>
  <c r="K100"/>
  <c r="L100" s="1"/>
  <c r="K25"/>
  <c r="L25" s="1"/>
  <c r="K89"/>
  <c r="L89" s="1"/>
  <c r="K230"/>
  <c r="L230" s="1"/>
  <c r="K195"/>
  <c r="L195" s="1"/>
  <c r="K44"/>
  <c r="L44" s="1"/>
  <c r="K106"/>
  <c r="L106" s="1"/>
  <c r="K59"/>
  <c r="L59" s="1"/>
  <c r="K123"/>
  <c r="L123" s="1"/>
  <c r="K105"/>
  <c r="L105" s="1"/>
  <c r="K12"/>
  <c r="L12" s="1"/>
  <c r="K162"/>
  <c r="L162" s="1"/>
  <c r="K137"/>
  <c r="L137" s="1"/>
  <c r="K57"/>
  <c r="L57" s="1"/>
  <c r="K224"/>
  <c r="L224" s="1"/>
  <c r="K201"/>
  <c r="L201" s="1"/>
  <c r="K82"/>
  <c r="L82" s="1"/>
  <c r="K133"/>
  <c r="L133" s="1"/>
  <c r="K177"/>
  <c r="L177" s="1"/>
  <c r="K193"/>
  <c r="L193" s="1"/>
  <c r="K214"/>
  <c r="L214" s="1"/>
  <c r="K4"/>
  <c r="L4" s="1"/>
  <c r="K155"/>
  <c r="L155" s="1"/>
  <c r="K70"/>
  <c r="L70" s="1"/>
  <c r="K10"/>
  <c r="L10" s="1"/>
  <c r="K46"/>
  <c r="L46" s="1"/>
  <c r="K21"/>
  <c r="L21" s="1"/>
  <c r="K85"/>
  <c r="L85" s="1"/>
  <c r="K190"/>
  <c r="L190" s="1"/>
  <c r="K152"/>
  <c r="L152" s="1"/>
  <c r="K23"/>
  <c r="L23" s="1"/>
  <c r="K227"/>
  <c r="L227" s="1"/>
  <c r="K71"/>
  <c r="L71" s="1"/>
  <c r="K161"/>
  <c r="L161" s="1"/>
  <c r="K67"/>
  <c r="L67" s="1"/>
  <c r="K147"/>
  <c r="L147" s="1"/>
  <c r="K172"/>
  <c r="L172" s="1"/>
  <c r="K74"/>
  <c r="L74" s="1"/>
  <c r="K29"/>
  <c r="L29" s="1"/>
  <c r="K48"/>
  <c r="L48" s="1"/>
  <c r="K63"/>
  <c r="L63" s="1"/>
  <c r="K125"/>
  <c r="L125" s="1"/>
  <c r="K144"/>
  <c r="L144" s="1"/>
  <c r="K210"/>
  <c r="L210" s="1"/>
  <c r="K101"/>
  <c r="L101" s="1"/>
  <c r="K39"/>
  <c r="L39" s="1"/>
  <c r="K218"/>
  <c r="L218" s="1"/>
  <c r="K188"/>
  <c r="L188" s="1"/>
  <c r="K187"/>
  <c r="L187" s="1"/>
  <c r="K45"/>
  <c r="L45" s="1"/>
  <c r="K79"/>
  <c r="L79" s="1"/>
  <c r="K112"/>
  <c r="L112" s="1"/>
  <c r="K77"/>
  <c r="L77" s="1"/>
  <c r="K185"/>
  <c r="L185" s="1"/>
  <c r="K166"/>
  <c r="L166" s="1"/>
  <c r="K108"/>
  <c r="L108" s="1"/>
  <c r="K203"/>
  <c r="L203" s="1"/>
  <c r="K223"/>
  <c r="L223" s="1"/>
  <c r="K121"/>
  <c r="L121" s="1"/>
  <c r="K232"/>
  <c r="L232" s="1"/>
  <c r="K122"/>
  <c r="L122" s="1"/>
  <c r="K206"/>
  <c r="L206" s="1"/>
  <c r="K164"/>
  <c r="L164" s="1"/>
  <c r="K8"/>
  <c r="L8" s="1"/>
  <c r="K146"/>
  <c r="L146" s="1"/>
  <c r="K217"/>
  <c r="L217" s="1"/>
  <c r="K184"/>
  <c r="L184" s="1"/>
  <c r="K69"/>
  <c r="L69" s="1"/>
  <c r="K117"/>
  <c r="L117" s="1"/>
  <c r="K216"/>
  <c r="L216" s="1"/>
  <c r="K134"/>
  <c r="L134" s="1"/>
  <c r="K222"/>
  <c r="L222" s="1"/>
  <c r="K41"/>
  <c r="L41" s="1"/>
  <c r="K60"/>
  <c r="L60" s="1"/>
  <c r="K180"/>
  <c r="L180" s="1"/>
  <c r="K80"/>
  <c r="L80" s="1"/>
  <c r="K36"/>
  <c r="L36" s="1"/>
  <c r="K215"/>
  <c r="L215" s="1"/>
  <c r="K209"/>
  <c r="L209" s="1"/>
  <c r="K18"/>
  <c r="L18" s="1"/>
  <c r="K119"/>
  <c r="L119" s="1"/>
  <c r="K15"/>
  <c r="L15" s="1"/>
  <c r="K33"/>
  <c r="L33" s="1"/>
  <c r="K78"/>
  <c r="L78" s="1"/>
  <c r="K196"/>
  <c r="L196" s="1"/>
  <c r="K136"/>
  <c r="L136" s="1"/>
  <c r="K176"/>
  <c r="L176" s="1"/>
  <c r="K221"/>
  <c r="L221" s="1"/>
  <c r="K43"/>
  <c r="L43" s="1"/>
  <c r="K199"/>
  <c r="L199" s="1"/>
  <c r="K110"/>
  <c r="L110" s="1"/>
  <c r="K194"/>
  <c r="L194" s="1"/>
  <c r="K5"/>
  <c r="L5" s="1"/>
  <c r="K55"/>
  <c r="L55" s="1"/>
  <c r="K6"/>
  <c r="L6" s="1"/>
  <c r="K127"/>
  <c r="L127" s="1"/>
  <c r="K171"/>
  <c r="L171" s="1"/>
  <c r="K111"/>
  <c r="L111" s="1"/>
  <c r="K234"/>
  <c r="L234" s="1"/>
  <c r="K11"/>
  <c r="L11" s="1"/>
  <c r="K24"/>
  <c r="L24" s="1"/>
  <c r="K104"/>
  <c r="L104" s="1"/>
  <c r="K143"/>
  <c r="L143" s="1"/>
  <c r="K27"/>
  <c r="L27" s="1"/>
  <c r="K205"/>
  <c r="L205" s="1"/>
  <c r="K175"/>
  <c r="L175" s="1"/>
  <c r="K56"/>
  <c r="L56" s="1"/>
  <c r="K66"/>
  <c r="L66" s="1"/>
  <c r="K159"/>
  <c r="L159" s="1"/>
  <c r="K65"/>
  <c r="L65" s="1"/>
  <c r="K52"/>
  <c r="L52" s="1"/>
  <c r="K157"/>
  <c r="L157" s="1"/>
  <c r="K42"/>
  <c r="L42" s="1"/>
  <c r="K49"/>
  <c r="L49" s="1"/>
  <c r="K154"/>
  <c r="L154" s="1"/>
  <c r="K68"/>
  <c r="L68" s="1"/>
  <c r="K173"/>
  <c r="L173" s="1"/>
  <c r="K83"/>
  <c r="L83" s="1"/>
  <c r="K151"/>
  <c r="L151" s="1"/>
  <c r="K174"/>
  <c r="L174" s="1"/>
  <c r="K107"/>
  <c r="L107" s="1"/>
  <c r="K31"/>
  <c r="L31" s="1"/>
  <c r="K233"/>
  <c r="L233" s="1"/>
  <c r="K28"/>
  <c r="L28" s="1"/>
  <c r="K9"/>
  <c r="L9" s="1"/>
  <c r="K160"/>
  <c r="L160" s="1"/>
  <c r="K207"/>
  <c r="L207" s="1"/>
  <c r="K102"/>
  <c r="L102" s="1"/>
  <c r="K87"/>
  <c r="L87" s="1"/>
  <c r="K103"/>
  <c r="L103" s="1"/>
  <c r="K61"/>
  <c r="L61" s="1"/>
  <c r="K81"/>
  <c r="L81" s="1"/>
  <c r="K229"/>
  <c r="L229" s="1"/>
  <c r="K231"/>
  <c r="L231" s="1"/>
  <c r="K145"/>
  <c r="L145" s="1"/>
  <c r="K30"/>
  <c r="L30" s="1"/>
  <c r="K7"/>
  <c r="L7" s="1"/>
  <c r="K17"/>
  <c r="L17" s="1"/>
  <c r="K95"/>
  <c r="L95" s="1"/>
  <c r="K40"/>
  <c r="L40" s="1"/>
  <c r="K90"/>
  <c r="L90" s="1"/>
  <c r="K109"/>
  <c r="L109" s="1"/>
  <c r="K197"/>
  <c r="L197" s="1"/>
  <c r="K140"/>
  <c r="L140" s="1"/>
  <c r="K130"/>
  <c r="L130" s="1"/>
  <c r="K138"/>
  <c r="L138" s="1"/>
  <c r="K181"/>
  <c r="L181" s="1"/>
  <c r="K37"/>
  <c r="L37" s="1"/>
  <c r="K170"/>
  <c r="L170" s="1"/>
  <c r="K241"/>
  <c r="L241" s="1"/>
  <c r="K34"/>
  <c r="L34" s="1"/>
  <c r="K129"/>
  <c r="L129" s="1"/>
  <c r="K148"/>
  <c r="L148" s="1"/>
  <c r="K72"/>
  <c r="L72" s="1"/>
  <c r="K167"/>
  <c r="L167" s="1"/>
  <c r="K192"/>
  <c r="L192" s="1"/>
  <c r="K93"/>
  <c r="L93" s="1"/>
  <c r="K126"/>
  <c r="L126" s="1"/>
  <c r="K168"/>
  <c r="L168" s="1"/>
  <c r="K58"/>
  <c r="L58" s="1"/>
  <c r="K75"/>
  <c r="L75" s="1"/>
  <c r="K186"/>
  <c r="L186" s="1"/>
  <c r="K62"/>
  <c r="L62" s="1"/>
  <c r="K219"/>
  <c r="L219" s="1"/>
  <c r="K183"/>
  <c r="L183" s="1"/>
  <c r="K99"/>
  <c r="L99" s="1"/>
  <c r="K135"/>
  <c r="L135" s="1"/>
  <c r="K96"/>
  <c r="L96" s="1"/>
  <c r="K149"/>
  <c r="L149" s="1"/>
  <c r="K235"/>
  <c r="L235" s="1"/>
  <c r="K226"/>
  <c r="L226" s="1"/>
  <c r="K202"/>
  <c r="L202" s="1"/>
  <c r="K91"/>
  <c r="L91" s="1"/>
  <c r="K3"/>
  <c r="L3" s="1"/>
  <c r="K169"/>
  <c r="L169" s="1"/>
  <c r="K76"/>
  <c r="L76" s="1"/>
  <c r="K54"/>
  <c r="L54" s="1"/>
  <c r="K238"/>
  <c r="L238" s="1"/>
  <c r="K132"/>
  <c r="L132" s="1"/>
  <c r="K114"/>
  <c r="L114" s="1"/>
  <c r="K237"/>
  <c r="L237" s="1"/>
  <c r="K19"/>
  <c r="L19" s="1"/>
  <c r="K165"/>
  <c r="L165" s="1"/>
  <c r="K113"/>
  <c r="L113" s="1"/>
  <c r="K94"/>
  <c r="L94" s="1"/>
  <c r="K16"/>
  <c r="L16" s="1"/>
  <c r="K228"/>
  <c r="L228" s="1"/>
  <c r="K26"/>
  <c r="L26" s="1"/>
  <c r="K88"/>
  <c r="L88" s="1"/>
  <c r="B30" i="10"/>
  <c r="D30" s="1"/>
  <c r="A205" i="3"/>
  <c r="J148" i="7"/>
  <c r="M148"/>
  <c r="J241"/>
  <c r="M241"/>
  <c r="M57"/>
  <c r="J57"/>
  <c r="M182"/>
  <c r="J182"/>
  <c r="M120"/>
  <c r="J120"/>
  <c r="M13"/>
  <c r="J13"/>
  <c r="M36"/>
  <c r="J36"/>
  <c r="M122"/>
  <c r="J122"/>
  <c r="M84"/>
  <c r="J84"/>
  <c r="J227"/>
  <c r="M227"/>
  <c r="J53"/>
  <c r="M53"/>
  <c r="J17"/>
  <c r="M17"/>
  <c r="M132"/>
  <c r="J132"/>
  <c r="M230"/>
  <c r="J230"/>
  <c r="M20"/>
  <c r="J20"/>
  <c r="M196"/>
  <c r="J196"/>
  <c r="J139"/>
  <c r="M139"/>
  <c r="J131"/>
  <c r="M131"/>
  <c r="M118"/>
  <c r="J118"/>
  <c r="J9"/>
  <c r="M9"/>
  <c r="J63"/>
  <c r="M63"/>
  <c r="J159"/>
  <c r="M159"/>
  <c r="J43"/>
  <c r="M43"/>
  <c r="M4"/>
  <c r="J4"/>
  <c r="J203"/>
  <c r="M203"/>
  <c r="J213"/>
  <c r="M213"/>
  <c r="M124"/>
  <c r="J124"/>
  <c r="J2"/>
  <c r="M2"/>
  <c r="M62"/>
  <c r="J62"/>
  <c r="J165"/>
  <c r="M165"/>
  <c r="J18"/>
  <c r="M18"/>
  <c r="M185"/>
  <c r="J185"/>
  <c r="M150"/>
  <c r="J150"/>
  <c r="M42"/>
  <c r="J42"/>
  <c r="M229"/>
  <c r="J229"/>
  <c r="M74"/>
  <c r="J74"/>
  <c r="M107"/>
  <c r="J107"/>
  <c r="J27"/>
  <c r="M27"/>
  <c r="M237"/>
  <c r="J237"/>
  <c r="J204"/>
  <c r="M204"/>
  <c r="M160"/>
  <c r="J160"/>
  <c r="J80"/>
  <c r="M80"/>
  <c r="J24"/>
  <c r="M24"/>
  <c r="J129"/>
  <c r="M129"/>
  <c r="J205"/>
  <c r="M205"/>
  <c r="M217"/>
  <c r="J217"/>
  <c r="M29"/>
  <c r="J29"/>
  <c r="M11"/>
  <c r="J11"/>
  <c r="J146"/>
  <c r="M146"/>
  <c r="M46"/>
  <c r="J46"/>
  <c r="M112"/>
  <c r="J112"/>
  <c r="M202"/>
  <c r="J202"/>
  <c r="M10"/>
  <c r="J10"/>
  <c r="J152"/>
  <c r="M152"/>
  <c r="J67"/>
  <c r="M67"/>
  <c r="J96"/>
  <c r="M96"/>
  <c r="M44"/>
  <c r="J44"/>
  <c r="J209"/>
  <c r="M209"/>
  <c r="J236"/>
  <c r="M236"/>
  <c r="J85"/>
  <c r="M85"/>
  <c r="M109"/>
  <c r="J109"/>
  <c r="M222"/>
  <c r="J222"/>
  <c r="J154"/>
  <c r="M154"/>
  <c r="M161"/>
  <c r="J161"/>
  <c r="M147"/>
  <c r="J147"/>
  <c r="B20" i="9"/>
  <c r="D20" s="1"/>
  <c r="A136" i="3"/>
  <c r="A52"/>
  <c r="M10" i="9" s="1"/>
  <c r="B8"/>
  <c r="D8" s="1"/>
  <c r="M41" i="10"/>
  <c r="M27"/>
  <c r="M34" i="9"/>
  <c r="M8"/>
  <c r="M40"/>
  <c r="M9"/>
  <c r="M6" i="10"/>
  <c r="M17"/>
  <c r="M18"/>
  <c r="M11" i="9"/>
  <c r="M12"/>
  <c r="M32" i="10"/>
  <c r="M10"/>
  <c r="M22"/>
  <c r="B40"/>
  <c r="D40" s="1"/>
  <c r="A275" i="3"/>
  <c r="J135" i="7"/>
  <c r="M135"/>
  <c r="M207"/>
  <c r="J207"/>
  <c r="O279" i="3"/>
  <c r="C231" i="11"/>
  <c r="E231" s="1"/>
  <c r="J193" i="7"/>
  <c r="M193"/>
  <c r="M228"/>
  <c r="J228"/>
  <c r="M8"/>
  <c r="J8"/>
  <c r="M220"/>
  <c r="J220"/>
  <c r="M79"/>
  <c r="J79"/>
  <c r="J32"/>
  <c r="M32"/>
  <c r="M22"/>
  <c r="J22"/>
  <c r="M206"/>
  <c r="J206"/>
  <c r="J50"/>
  <c r="M50"/>
  <c r="M149"/>
  <c r="J149"/>
  <c r="J186"/>
  <c r="M186"/>
  <c r="J136"/>
  <c r="M136"/>
  <c r="J171"/>
  <c r="M171"/>
  <c r="M195"/>
  <c r="J195"/>
  <c r="M201"/>
  <c r="J201"/>
  <c r="J199"/>
  <c r="M199"/>
  <c r="M3"/>
  <c r="J3"/>
  <c r="J194"/>
  <c r="M194"/>
  <c r="J233"/>
  <c r="M233"/>
  <c r="J198"/>
  <c r="M198"/>
  <c r="J184"/>
  <c r="M184"/>
  <c r="J130"/>
  <c r="M130"/>
  <c r="J190"/>
  <c r="M190"/>
  <c r="J234"/>
  <c r="M234"/>
  <c r="M110"/>
  <c r="J110"/>
  <c r="J97"/>
  <c r="M97"/>
  <c r="M30"/>
  <c r="J30"/>
  <c r="J183"/>
  <c r="M183"/>
  <c r="M127"/>
  <c r="J127"/>
  <c r="J240"/>
  <c r="M240"/>
  <c r="M145"/>
  <c r="J145"/>
  <c r="M76"/>
  <c r="J76"/>
  <c r="M117"/>
  <c r="J117"/>
  <c r="M218"/>
  <c r="J218"/>
  <c r="M75"/>
  <c r="J75"/>
  <c r="M192"/>
  <c r="J192"/>
  <c r="J105"/>
  <c r="M105"/>
  <c r="M68"/>
  <c r="J68"/>
  <c r="J157"/>
  <c r="M157"/>
  <c r="J59"/>
  <c r="M59"/>
  <c r="M197"/>
  <c r="J197"/>
  <c r="M55"/>
  <c r="J55"/>
  <c r="J231"/>
  <c r="M231"/>
  <c r="M25"/>
  <c r="J25"/>
  <c r="J111"/>
  <c r="M111"/>
  <c r="J61"/>
  <c r="M61"/>
  <c r="M81"/>
  <c r="J81"/>
  <c r="J7"/>
  <c r="M7"/>
  <c r="J128"/>
  <c r="M128"/>
  <c r="J6"/>
  <c r="M6"/>
  <c r="M26"/>
  <c r="J26"/>
  <c r="J94"/>
  <c r="M94"/>
  <c r="J99"/>
  <c r="M99"/>
  <c r="M5"/>
  <c r="J5"/>
  <c r="M12"/>
  <c r="J12"/>
  <c r="M114"/>
  <c r="J114"/>
  <c r="J173"/>
  <c r="M173"/>
  <c r="J181"/>
  <c r="M181"/>
  <c r="J54"/>
  <c r="M54"/>
  <c r="M141"/>
  <c r="J141"/>
  <c r="M48"/>
  <c r="J48"/>
  <c r="J49"/>
  <c r="M49"/>
  <c r="J208"/>
  <c r="M208"/>
  <c r="J64"/>
  <c r="M64"/>
  <c r="M100"/>
  <c r="J100"/>
  <c r="J72"/>
  <c r="M72"/>
  <c r="J223"/>
  <c r="M223"/>
  <c r="A220" i="3"/>
  <c r="B32" i="9"/>
  <c r="D32" s="1"/>
  <c r="B28"/>
  <c r="D28" s="1"/>
  <c r="A192" i="3"/>
  <c r="M25" i="10"/>
  <c r="M37" i="9"/>
  <c r="M3"/>
  <c r="M15" i="10"/>
  <c r="M16" i="9"/>
  <c r="M27"/>
  <c r="M22"/>
  <c r="M31" i="10"/>
  <c r="M36" i="9"/>
  <c r="M3" i="10"/>
  <c r="M35" i="9"/>
  <c r="M16" i="10"/>
  <c r="M40"/>
  <c r="M14"/>
  <c r="M39"/>
  <c r="M25" i="9"/>
  <c r="M20"/>
  <c r="M5"/>
  <c r="M7"/>
  <c r="A233" i="3" l="1"/>
  <c r="B34" i="10"/>
  <c r="D34" s="1"/>
  <c r="B41"/>
  <c r="D41" s="1"/>
  <c r="A282" i="3"/>
  <c r="A247"/>
  <c r="B36" i="10"/>
  <c r="D36" s="1"/>
  <c r="A206" i="3"/>
  <c r="B30" i="9"/>
  <c r="D30" s="1"/>
  <c r="B26"/>
  <c r="D26" s="1"/>
  <c r="A178" i="3"/>
  <c r="B16" i="9"/>
  <c r="D16" s="1"/>
  <c r="A108" i="3"/>
  <c r="C212" i="11"/>
  <c r="E212" s="1"/>
  <c r="O258" i="3"/>
  <c r="A261"/>
  <c r="B38" i="10"/>
  <c r="D38" s="1"/>
  <c r="C224" i="11"/>
  <c r="E224" s="1"/>
  <c r="O272" i="3"/>
  <c r="C200" i="11"/>
  <c r="E200" s="1"/>
  <c r="O244" i="3"/>
  <c r="C196" i="11"/>
  <c r="E196" s="1"/>
  <c r="O237" i="3"/>
  <c r="C236" i="11"/>
  <c r="E236" s="1"/>
  <c r="O286" i="3"/>
  <c r="C208" i="11"/>
  <c r="E208" s="1"/>
  <c r="O251" i="3"/>
  <c r="A254"/>
  <c r="B37" i="10"/>
  <c r="D37" s="1"/>
  <c r="C218" i="11"/>
  <c r="E218" s="1"/>
  <c r="O265" i="3"/>
  <c r="B39" i="10"/>
  <c r="D39" s="1"/>
  <c r="A268" i="3"/>
  <c r="B35" i="10"/>
  <c r="D35" s="1"/>
  <c r="H36" s="1"/>
  <c r="I36" s="1"/>
  <c r="J36" s="1"/>
  <c r="A240" i="3"/>
  <c r="B24" i="9"/>
  <c r="D24" s="1"/>
  <c r="A164" i="3"/>
  <c r="A94"/>
  <c r="B14" i="9"/>
  <c r="D14" s="1"/>
  <c r="K172" i="11"/>
  <c r="L172" s="1"/>
  <c r="H10" i="10"/>
  <c r="I10" s="1"/>
  <c r="J10" s="1"/>
  <c r="M4" i="9"/>
  <c r="M37" i="10"/>
  <c r="M23"/>
  <c r="M21"/>
  <c r="H9"/>
  <c r="I9" s="1"/>
  <c r="J9" s="1"/>
  <c r="H15"/>
  <c r="I15" s="1"/>
  <c r="J15" s="1"/>
  <c r="M29"/>
  <c r="M9"/>
  <c r="M20"/>
  <c r="M12"/>
  <c r="M32" i="9"/>
  <c r="M31"/>
  <c r="M33" i="10"/>
  <c r="M41" i="9"/>
  <c r="M28"/>
  <c r="M34" i="10"/>
  <c r="M172" i="11"/>
  <c r="J172"/>
  <c r="J26" i="8"/>
  <c r="M26"/>
  <c r="J16"/>
  <c r="M16"/>
  <c r="J113"/>
  <c r="M113"/>
  <c r="J19"/>
  <c r="M19"/>
  <c r="M114"/>
  <c r="J114"/>
  <c r="J238"/>
  <c r="M238"/>
  <c r="J76"/>
  <c r="M76"/>
  <c r="J3"/>
  <c r="M3"/>
  <c r="J202"/>
  <c r="M202"/>
  <c r="J235"/>
  <c r="M235"/>
  <c r="M96"/>
  <c r="J96"/>
  <c r="J99"/>
  <c r="M99"/>
  <c r="M219"/>
  <c r="J219"/>
  <c r="J186"/>
  <c r="M186"/>
  <c r="M58"/>
  <c r="J58"/>
  <c r="M126"/>
  <c r="J126"/>
  <c r="M192"/>
  <c r="J192"/>
  <c r="J72"/>
  <c r="M72"/>
  <c r="M129"/>
  <c r="J129"/>
  <c r="J241"/>
  <c r="M241"/>
  <c r="M37"/>
  <c r="J37"/>
  <c r="J138"/>
  <c r="M138"/>
  <c r="J140"/>
  <c r="M140"/>
  <c r="J109"/>
  <c r="M109"/>
  <c r="J40"/>
  <c r="M40"/>
  <c r="M17"/>
  <c r="J17"/>
  <c r="J30"/>
  <c r="M30"/>
  <c r="M231"/>
  <c r="J231"/>
  <c r="M81"/>
  <c r="J81"/>
  <c r="M103"/>
  <c r="J103"/>
  <c r="J102"/>
  <c r="M102"/>
  <c r="M160"/>
  <c r="J160"/>
  <c r="J28"/>
  <c r="M28"/>
  <c r="J31"/>
  <c r="M31"/>
  <c r="M174"/>
  <c r="J174"/>
  <c r="J83"/>
  <c r="M83"/>
  <c r="M68"/>
  <c r="J68"/>
  <c r="M49"/>
  <c r="J49"/>
  <c r="M157"/>
  <c r="J157"/>
  <c r="M65"/>
  <c r="J65"/>
  <c r="M66"/>
  <c r="J66"/>
  <c r="M175"/>
  <c r="J175"/>
  <c r="J27"/>
  <c r="M27"/>
  <c r="M104"/>
  <c r="J104"/>
  <c r="J11"/>
  <c r="M11"/>
  <c r="J111"/>
  <c r="M111"/>
  <c r="J127"/>
  <c r="M127"/>
  <c r="J55"/>
  <c r="M55"/>
  <c r="M194"/>
  <c r="J194"/>
  <c r="M199"/>
  <c r="J199"/>
  <c r="M221"/>
  <c r="J221"/>
  <c r="M136"/>
  <c r="J136"/>
  <c r="M78"/>
  <c r="J78"/>
  <c r="M15"/>
  <c r="J15"/>
  <c r="M18"/>
  <c r="J18"/>
  <c r="J215"/>
  <c r="M215"/>
  <c r="M80"/>
  <c r="J80"/>
  <c r="J60"/>
  <c r="M60"/>
  <c r="J222"/>
  <c r="M222"/>
  <c r="J216"/>
  <c r="M216"/>
  <c r="M69"/>
  <c r="J69"/>
  <c r="M217"/>
  <c r="J217"/>
  <c r="J8"/>
  <c r="M8"/>
  <c r="J206"/>
  <c r="M206"/>
  <c r="M232"/>
  <c r="J232"/>
  <c r="M223"/>
  <c r="J223"/>
  <c r="J108"/>
  <c r="M108"/>
  <c r="J185"/>
  <c r="M185"/>
  <c r="J112"/>
  <c r="M112"/>
  <c r="M45"/>
  <c r="J45"/>
  <c r="M188"/>
  <c r="J188"/>
  <c r="J39"/>
  <c r="M39"/>
  <c r="J210"/>
  <c r="M210"/>
  <c r="M125"/>
  <c r="J125"/>
  <c r="M48"/>
  <c r="J48"/>
  <c r="M74"/>
  <c r="J74"/>
  <c r="M147"/>
  <c r="J147"/>
  <c r="M161"/>
  <c r="J161"/>
  <c r="M227"/>
  <c r="J227"/>
  <c r="M152"/>
  <c r="J152"/>
  <c r="J85"/>
  <c r="M85"/>
  <c r="M46"/>
  <c r="J46"/>
  <c r="J70"/>
  <c r="M70"/>
  <c r="J4"/>
  <c r="M4"/>
  <c r="J193"/>
  <c r="M193"/>
  <c r="M133"/>
  <c r="J133"/>
  <c r="J201"/>
  <c r="M201"/>
  <c r="M57"/>
  <c r="J57"/>
  <c r="J162"/>
  <c r="M162"/>
  <c r="M105"/>
  <c r="J105"/>
  <c r="M59"/>
  <c r="J59"/>
  <c r="J44"/>
  <c r="M44"/>
  <c r="M230"/>
  <c r="J230"/>
  <c r="M25"/>
  <c r="J25"/>
  <c r="J50"/>
  <c r="M50"/>
  <c r="M198"/>
  <c r="J198"/>
  <c r="J92"/>
  <c r="M92"/>
  <c r="J163"/>
  <c r="M163"/>
  <c r="J38"/>
  <c r="M38"/>
  <c r="M142"/>
  <c r="J142"/>
  <c r="M158"/>
  <c r="J158"/>
  <c r="J20"/>
  <c r="M20"/>
  <c r="J220"/>
  <c r="M220"/>
  <c r="J35"/>
  <c r="M35"/>
  <c r="M97"/>
  <c r="J97"/>
  <c r="J225"/>
  <c r="M225"/>
  <c r="M153"/>
  <c r="J153"/>
  <c r="M116"/>
  <c r="J116"/>
  <c r="J212"/>
  <c r="M212"/>
  <c r="J131"/>
  <c r="M131"/>
  <c r="J239"/>
  <c r="M239"/>
  <c r="M64"/>
  <c r="J64"/>
  <c r="M182"/>
  <c r="J182"/>
  <c r="M208"/>
  <c r="J208"/>
  <c r="J47"/>
  <c r="M47"/>
  <c r="J13"/>
  <c r="M13"/>
  <c r="M141"/>
  <c r="J141"/>
  <c r="M139"/>
  <c r="J139"/>
  <c r="M178"/>
  <c r="J178"/>
  <c r="M14"/>
  <c r="J14"/>
  <c r="J30" i="4"/>
  <c r="M30"/>
  <c r="M150"/>
  <c r="J150"/>
  <c r="M221"/>
  <c r="J221"/>
  <c r="J43"/>
  <c r="M43"/>
  <c r="J233"/>
  <c r="M233"/>
  <c r="M23"/>
  <c r="J23"/>
  <c r="M28"/>
  <c r="J28"/>
  <c r="J124"/>
  <c r="M124"/>
  <c r="M32"/>
  <c r="J32"/>
  <c r="M125"/>
  <c r="J125"/>
  <c r="J131"/>
  <c r="M131"/>
  <c r="J114"/>
  <c r="M114"/>
  <c r="M151"/>
  <c r="J151"/>
  <c r="M21"/>
  <c r="J21"/>
  <c r="J155"/>
  <c r="M155"/>
  <c r="M9"/>
  <c r="J9"/>
  <c r="M143"/>
  <c r="J143"/>
  <c r="M107"/>
  <c r="J107"/>
  <c r="J216"/>
  <c r="M216"/>
  <c r="J241"/>
  <c r="M241"/>
  <c r="M2"/>
  <c r="J2"/>
  <c r="J34"/>
  <c r="M34"/>
  <c r="M45"/>
  <c r="J45"/>
  <c r="M132"/>
  <c r="J132"/>
  <c r="J75"/>
  <c r="M75"/>
  <c r="M199"/>
  <c r="J199"/>
  <c r="M65"/>
  <c r="J65"/>
  <c r="M177"/>
  <c r="J177"/>
  <c r="J166"/>
  <c r="M166"/>
  <c r="M61"/>
  <c r="J61"/>
  <c r="J80"/>
  <c r="M80"/>
  <c r="M164"/>
  <c r="J164"/>
  <c r="M112"/>
  <c r="J112"/>
  <c r="J149"/>
  <c r="M149"/>
  <c r="M5"/>
  <c r="J5"/>
  <c r="M136"/>
  <c r="J136"/>
  <c r="J106"/>
  <c r="M106"/>
  <c r="M115"/>
  <c r="J115"/>
  <c r="M7"/>
  <c r="J7"/>
  <c r="J239"/>
  <c r="M239"/>
  <c r="J76"/>
  <c r="M76"/>
  <c r="J226"/>
  <c r="M226"/>
  <c r="J84"/>
  <c r="M84"/>
  <c r="J88"/>
  <c r="M88"/>
  <c r="M91"/>
  <c r="J91"/>
  <c r="J210"/>
  <c r="M210"/>
  <c r="M18"/>
  <c r="J18"/>
  <c r="M227"/>
  <c r="J227"/>
  <c r="J82"/>
  <c r="M82"/>
  <c r="M101"/>
  <c r="J101"/>
  <c r="J222"/>
  <c r="M222"/>
  <c r="J142"/>
  <c r="M142"/>
  <c r="M59"/>
  <c r="J59"/>
  <c r="J213"/>
  <c r="M213"/>
  <c r="M79"/>
  <c r="J79"/>
  <c r="J198"/>
  <c r="M198"/>
  <c r="J94"/>
  <c r="M94"/>
  <c r="J140"/>
  <c r="M140"/>
  <c r="J138"/>
  <c r="M138"/>
  <c r="J86"/>
  <c r="M86"/>
  <c r="M165"/>
  <c r="J165"/>
  <c r="M71"/>
  <c r="J71"/>
  <c r="J191"/>
  <c r="M191"/>
  <c r="J203"/>
  <c r="M203"/>
  <c r="J108"/>
  <c r="M108"/>
  <c r="J92"/>
  <c r="M92"/>
  <c r="J11"/>
  <c r="M11"/>
  <c r="M31"/>
  <c r="J31"/>
  <c r="J201"/>
  <c r="M201"/>
  <c r="M182"/>
  <c r="J182"/>
  <c r="J118"/>
  <c r="M118"/>
  <c r="J33"/>
  <c r="M33"/>
  <c r="J209"/>
  <c r="M209"/>
  <c r="M184"/>
  <c r="J184"/>
  <c r="J73"/>
  <c r="M73"/>
  <c r="J129"/>
  <c r="M129"/>
  <c r="J161"/>
  <c r="M161"/>
  <c r="M104"/>
  <c r="J104"/>
  <c r="M20"/>
  <c r="J20"/>
  <c r="M180"/>
  <c r="J180"/>
  <c r="M103"/>
  <c r="J103"/>
  <c r="J225"/>
  <c r="M225"/>
  <c r="J44"/>
  <c r="M44"/>
  <c r="J123"/>
  <c r="M123"/>
  <c r="J168"/>
  <c r="M168"/>
  <c r="M83"/>
  <c r="J83"/>
  <c r="M26"/>
  <c r="J26"/>
  <c r="J228"/>
  <c r="M228"/>
  <c r="J17"/>
  <c r="M17"/>
  <c r="M77"/>
  <c r="J77"/>
  <c r="M130"/>
  <c r="J130"/>
  <c r="J162"/>
  <c r="M162"/>
  <c r="M148"/>
  <c r="J148"/>
  <c r="J223"/>
  <c r="M223"/>
  <c r="J174"/>
  <c r="M174"/>
  <c r="M236"/>
  <c r="J236"/>
  <c r="J42"/>
  <c r="M42"/>
  <c r="J25"/>
  <c r="M25"/>
  <c r="M171"/>
  <c r="J171"/>
  <c r="M16"/>
  <c r="J16"/>
  <c r="M46"/>
  <c r="J46"/>
  <c r="J235"/>
  <c r="M235"/>
  <c r="M175"/>
  <c r="J175"/>
  <c r="J58"/>
  <c r="M58"/>
  <c r="M64"/>
  <c r="J64"/>
  <c r="J200"/>
  <c r="M200"/>
  <c r="M69"/>
  <c r="J69"/>
  <c r="J240"/>
  <c r="M240"/>
  <c r="M105"/>
  <c r="J105"/>
  <c r="M12"/>
  <c r="J12"/>
  <c r="M50"/>
  <c r="J50"/>
  <c r="M193"/>
  <c r="J193"/>
  <c r="J52"/>
  <c r="M52"/>
  <c r="M197"/>
  <c r="J197"/>
  <c r="J194"/>
  <c r="M194"/>
  <c r="J10"/>
  <c r="M10"/>
  <c r="M170"/>
  <c r="J170"/>
  <c r="M141"/>
  <c r="J141"/>
  <c r="J179"/>
  <c r="M179"/>
  <c r="M158"/>
  <c r="J158"/>
  <c r="H27" i="10"/>
  <c r="I27" s="1"/>
  <c r="J27" s="1"/>
  <c r="B40" i="9"/>
  <c r="D40" s="1"/>
  <c r="A276" i="3"/>
  <c r="J88" i="8"/>
  <c r="M88"/>
  <c r="M228"/>
  <c r="J228"/>
  <c r="M94"/>
  <c r="J94"/>
  <c r="M165"/>
  <c r="J165"/>
  <c r="M237"/>
  <c r="J237"/>
  <c r="M132"/>
  <c r="J132"/>
  <c r="M54"/>
  <c r="J54"/>
  <c r="J169"/>
  <c r="M169"/>
  <c r="J91"/>
  <c r="M91"/>
  <c r="J226"/>
  <c r="M226"/>
  <c r="M149"/>
  <c r="J149"/>
  <c r="J135"/>
  <c r="M135"/>
  <c r="M183"/>
  <c r="J183"/>
  <c r="J62"/>
  <c r="M62"/>
  <c r="J75"/>
  <c r="M75"/>
  <c r="M168"/>
  <c r="J168"/>
  <c r="J93"/>
  <c r="M93"/>
  <c r="M167"/>
  <c r="J167"/>
  <c r="M148"/>
  <c r="J148"/>
  <c r="M34"/>
  <c r="J34"/>
  <c r="J170"/>
  <c r="M170"/>
  <c r="M181"/>
  <c r="J181"/>
  <c r="M130"/>
  <c r="J130"/>
  <c r="M197"/>
  <c r="J197"/>
  <c r="M90"/>
  <c r="J90"/>
  <c r="M95"/>
  <c r="J95"/>
  <c r="M7"/>
  <c r="J7"/>
  <c r="J145"/>
  <c r="M145"/>
  <c r="J229"/>
  <c r="M229"/>
  <c r="J61"/>
  <c r="M61"/>
  <c r="J87"/>
  <c r="M87"/>
  <c r="M207"/>
  <c r="J207"/>
  <c r="M9"/>
  <c r="J9"/>
  <c r="M233"/>
  <c r="J233"/>
  <c r="J107"/>
  <c r="M107"/>
  <c r="J151"/>
  <c r="M151"/>
  <c r="M173"/>
  <c r="J173"/>
  <c r="M154"/>
  <c r="J154"/>
  <c r="M42"/>
  <c r="J42"/>
  <c r="M52"/>
  <c r="J52"/>
  <c r="M159"/>
  <c r="J159"/>
  <c r="J56"/>
  <c r="M56"/>
  <c r="J205"/>
  <c r="M205"/>
  <c r="M143"/>
  <c r="J143"/>
  <c r="J24"/>
  <c r="M24"/>
  <c r="J234"/>
  <c r="M234"/>
  <c r="J171"/>
  <c r="M171"/>
  <c r="M6"/>
  <c r="J6"/>
  <c r="M5"/>
  <c r="J5"/>
  <c r="J110"/>
  <c r="M110"/>
  <c r="M43"/>
  <c r="J43"/>
  <c r="M176"/>
  <c r="J176"/>
  <c r="J196"/>
  <c r="M196"/>
  <c r="J33"/>
  <c r="M33"/>
  <c r="J119"/>
  <c r="M119"/>
  <c r="J209"/>
  <c r="M209"/>
  <c r="J36"/>
  <c r="M36"/>
  <c r="M180"/>
  <c r="J180"/>
  <c r="M41"/>
  <c r="J41"/>
  <c r="M134"/>
  <c r="J134"/>
  <c r="J117"/>
  <c r="M117"/>
  <c r="J184"/>
  <c r="M184"/>
  <c r="J146"/>
  <c r="M146"/>
  <c r="M164"/>
  <c r="J164"/>
  <c r="J122"/>
  <c r="M122"/>
  <c r="M121"/>
  <c r="J121"/>
  <c r="M203"/>
  <c r="J203"/>
  <c r="J166"/>
  <c r="M166"/>
  <c r="J77"/>
  <c r="M77"/>
  <c r="M79"/>
  <c r="J79"/>
  <c r="M187"/>
  <c r="J187"/>
  <c r="J218"/>
  <c r="M218"/>
  <c r="J101"/>
  <c r="M101"/>
  <c r="M144"/>
  <c r="J144"/>
  <c r="M63"/>
  <c r="J63"/>
  <c r="M29"/>
  <c r="J29"/>
  <c r="M172"/>
  <c r="J172"/>
  <c r="M67"/>
  <c r="J67"/>
  <c r="J71"/>
  <c r="M71"/>
  <c r="J23"/>
  <c r="M23"/>
  <c r="J190"/>
  <c r="M190"/>
  <c r="J21"/>
  <c r="M21"/>
  <c r="J10"/>
  <c r="M10"/>
  <c r="M155"/>
  <c r="J155"/>
  <c r="J214"/>
  <c r="M214"/>
  <c r="J177"/>
  <c r="M177"/>
  <c r="M82"/>
  <c r="J82"/>
  <c r="M224"/>
  <c r="J224"/>
  <c r="J137"/>
  <c r="M137"/>
  <c r="J12"/>
  <c r="M12"/>
  <c r="M123"/>
  <c r="J123"/>
  <c r="J106"/>
  <c r="M106"/>
  <c r="J195"/>
  <c r="M195"/>
  <c r="M89"/>
  <c r="J89"/>
  <c r="M100"/>
  <c r="J100"/>
  <c r="M179"/>
  <c r="J179"/>
  <c r="M240"/>
  <c r="J240"/>
  <c r="M191"/>
  <c r="J191"/>
  <c r="M86"/>
  <c r="J86"/>
  <c r="J22"/>
  <c r="M22"/>
  <c r="J53"/>
  <c r="M53"/>
  <c r="J120"/>
  <c r="M120"/>
  <c r="J84"/>
  <c r="M84"/>
  <c r="M189"/>
  <c r="J189"/>
  <c r="J115"/>
  <c r="M115"/>
  <c r="M211"/>
  <c r="J211"/>
  <c r="J2"/>
  <c r="M2"/>
  <c r="M200"/>
  <c r="J200"/>
  <c r="M98"/>
  <c r="J98"/>
  <c r="M51"/>
  <c r="J51"/>
  <c r="M156"/>
  <c r="J156"/>
  <c r="J128"/>
  <c r="M128"/>
  <c r="J204"/>
  <c r="M204"/>
  <c r="M150"/>
  <c r="J150"/>
  <c r="M236"/>
  <c r="J236"/>
  <c r="J32"/>
  <c r="M32"/>
  <c r="J213"/>
  <c r="M213"/>
  <c r="J118"/>
  <c r="M118"/>
  <c r="M124"/>
  <c r="J124"/>
  <c r="J73"/>
  <c r="M73"/>
  <c r="J188" i="4"/>
  <c r="M188"/>
  <c r="J176"/>
  <c r="M176"/>
  <c r="M53"/>
  <c r="J53"/>
  <c r="J121"/>
  <c r="M121"/>
  <c r="M4"/>
  <c r="J4"/>
  <c r="M134"/>
  <c r="J134"/>
  <c r="M157"/>
  <c r="J157"/>
  <c r="J29"/>
  <c r="M29"/>
  <c r="M212"/>
  <c r="J212"/>
  <c r="M70"/>
  <c r="J70"/>
  <c r="J195"/>
  <c r="M195"/>
  <c r="J54"/>
  <c r="M54"/>
  <c r="M238"/>
  <c r="J238"/>
  <c r="M22"/>
  <c r="J22"/>
  <c r="J100"/>
  <c r="M100"/>
  <c r="M229"/>
  <c r="J229"/>
  <c r="M40"/>
  <c r="J40"/>
  <c r="M144"/>
  <c r="J144"/>
  <c r="M145"/>
  <c r="J145"/>
  <c r="M126"/>
  <c r="J126"/>
  <c r="M116"/>
  <c r="J116"/>
  <c r="M81"/>
  <c r="J81"/>
  <c r="J190"/>
  <c r="M190"/>
  <c r="M207"/>
  <c r="J207"/>
  <c r="M14"/>
  <c r="J14"/>
  <c r="J147"/>
  <c r="M147"/>
  <c r="M68"/>
  <c r="J68"/>
  <c r="M153"/>
  <c r="J153"/>
  <c r="J99"/>
  <c r="M99"/>
  <c r="J36"/>
  <c r="M36"/>
  <c r="J192"/>
  <c r="M192"/>
  <c r="J135"/>
  <c r="M135"/>
  <c r="J98"/>
  <c r="M98"/>
  <c r="M60"/>
  <c r="J60"/>
  <c r="M146"/>
  <c r="J146"/>
  <c r="M215"/>
  <c r="J215"/>
  <c r="M218"/>
  <c r="J218"/>
  <c r="J55"/>
  <c r="M55"/>
  <c r="M95"/>
  <c r="J95"/>
  <c r="J122"/>
  <c r="M122"/>
  <c r="J234"/>
  <c r="M234"/>
  <c r="J237"/>
  <c r="M237"/>
  <c r="M72"/>
  <c r="J72"/>
  <c r="M111"/>
  <c r="J111"/>
  <c r="J119"/>
  <c r="M119"/>
  <c r="M214"/>
  <c r="J214"/>
  <c r="M109"/>
  <c r="J109"/>
  <c r="M62"/>
  <c r="J62"/>
  <c r="J93"/>
  <c r="M93"/>
  <c r="J63"/>
  <c r="M63"/>
  <c r="J163"/>
  <c r="M163"/>
  <c r="J173"/>
  <c r="M173"/>
  <c r="M160"/>
  <c r="J160"/>
  <c r="M67"/>
  <c r="J67"/>
  <c r="J38"/>
  <c r="M38"/>
  <c r="J57"/>
  <c r="M57"/>
  <c r="M96"/>
  <c r="J96"/>
  <c r="M110"/>
  <c r="J110"/>
  <c r="J204"/>
  <c r="M204"/>
  <c r="M224"/>
  <c r="J224"/>
  <c r="J102"/>
  <c r="M102"/>
  <c r="M127"/>
  <c r="J127"/>
  <c r="M51"/>
  <c r="J51"/>
  <c r="M167"/>
  <c r="J167"/>
  <c r="J27"/>
  <c r="M27"/>
  <c r="M74"/>
  <c r="J74"/>
  <c r="J219"/>
  <c r="M219"/>
  <c r="M35"/>
  <c r="J35"/>
  <c r="J89"/>
  <c r="M89"/>
  <c r="M196"/>
  <c r="J196"/>
  <c r="J48"/>
  <c r="M48"/>
  <c r="J181"/>
  <c r="M181"/>
  <c r="J13"/>
  <c r="M13"/>
  <c r="M90"/>
  <c r="J90"/>
  <c r="M139"/>
  <c r="J139"/>
  <c r="M137"/>
  <c r="J137"/>
  <c r="M97"/>
  <c r="J97"/>
  <c r="J66"/>
  <c r="M66"/>
  <c r="M56"/>
  <c r="J56"/>
  <c r="J172"/>
  <c r="M172"/>
  <c r="M178"/>
  <c r="J178"/>
  <c r="M117"/>
  <c r="J117"/>
  <c r="M220"/>
  <c r="J220"/>
  <c r="J47"/>
  <c r="M47"/>
  <c r="M208"/>
  <c r="J208"/>
  <c r="M37"/>
  <c r="J37"/>
  <c r="J8"/>
  <c r="M8"/>
  <c r="J120"/>
  <c r="M120"/>
  <c r="J156"/>
  <c r="M156"/>
  <c r="J3"/>
  <c r="M3"/>
  <c r="M154"/>
  <c r="J154"/>
  <c r="J159"/>
  <c r="M159"/>
  <c r="J205"/>
  <c r="M205"/>
  <c r="M85"/>
  <c r="J85"/>
  <c r="J113"/>
  <c r="M113"/>
  <c r="M189"/>
  <c r="J189"/>
  <c r="M169"/>
  <c r="J169"/>
  <c r="J15"/>
  <c r="M15"/>
  <c r="J128"/>
  <c r="M128"/>
  <c r="J211"/>
  <c r="M211"/>
  <c r="M217"/>
  <c r="J217"/>
  <c r="J231"/>
  <c r="M231"/>
  <c r="J49"/>
  <c r="M49"/>
  <c r="M202"/>
  <c r="J202"/>
  <c r="M185"/>
  <c r="J185"/>
  <c r="M183"/>
  <c r="J183"/>
  <c r="J186"/>
  <c r="M186"/>
  <c r="M232"/>
  <c r="J232"/>
  <c r="J152"/>
  <c r="M152"/>
  <c r="M206"/>
  <c r="J206"/>
  <c r="M230"/>
  <c r="J230"/>
  <c r="M6"/>
  <c r="J6"/>
  <c r="J24"/>
  <c r="M24"/>
  <c r="M41"/>
  <c r="J41"/>
  <c r="M87"/>
  <c r="J87"/>
  <c r="J78"/>
  <c r="M78"/>
  <c r="M39"/>
  <c r="J39"/>
  <c r="M133"/>
  <c r="J133"/>
  <c r="J19"/>
  <c r="M19"/>
  <c r="M187"/>
  <c r="J187"/>
  <c r="K12" i="11"/>
  <c r="L12" s="1"/>
  <c r="K167"/>
  <c r="L167" s="1"/>
  <c r="K201"/>
  <c r="L201" s="1"/>
  <c r="K178"/>
  <c r="L178" s="1"/>
  <c r="K95"/>
  <c r="L95" s="1"/>
  <c r="K237"/>
  <c r="L237" s="1"/>
  <c r="K77"/>
  <c r="L77" s="1"/>
  <c r="K213"/>
  <c r="L213" s="1"/>
  <c r="K116"/>
  <c r="L116" s="1"/>
  <c r="K165"/>
  <c r="L165" s="1"/>
  <c r="K179"/>
  <c r="L179" s="1"/>
  <c r="K195"/>
  <c r="L195" s="1"/>
  <c r="K137"/>
  <c r="L137" s="1"/>
  <c r="K53"/>
  <c r="L53" s="1"/>
  <c r="K147"/>
  <c r="L147" s="1"/>
  <c r="K218"/>
  <c r="L218" s="1"/>
  <c r="M11" i="10"/>
  <c r="M13" i="9"/>
  <c r="M39"/>
  <c r="M15"/>
  <c r="M8" i="10"/>
  <c r="M17" i="9"/>
  <c r="M24"/>
  <c r="M29"/>
  <c r="M26"/>
  <c r="M33"/>
  <c r="H17" i="10"/>
  <c r="I17" s="1"/>
  <c r="J17" s="1"/>
  <c r="H13"/>
  <c r="I13" s="1"/>
  <c r="J13" s="1"/>
  <c r="H4"/>
  <c r="I4" s="1"/>
  <c r="J4" s="1"/>
  <c r="H29"/>
  <c r="I29" s="1"/>
  <c r="J29" s="1"/>
  <c r="M21" i="9"/>
  <c r="M35" i="10"/>
  <c r="M24"/>
  <c r="M19"/>
  <c r="M38"/>
  <c r="M19" i="9"/>
  <c r="M28" i="10"/>
  <c r="M7"/>
  <c r="M4"/>
  <c r="M13"/>
  <c r="M30"/>
  <c r="M38" i="9"/>
  <c r="M18"/>
  <c r="M6"/>
  <c r="M36" i="10"/>
  <c r="M26"/>
  <c r="M23" i="9"/>
  <c r="M5" i="10"/>
  <c r="M30" i="9"/>
  <c r="M14"/>
  <c r="B38" l="1"/>
  <c r="D38" s="1"/>
  <c r="A262" i="3"/>
  <c r="A248"/>
  <c r="B36" i="9"/>
  <c r="D36" s="1"/>
  <c r="B41"/>
  <c r="D41" s="1"/>
  <c r="A283" i="3"/>
  <c r="A234"/>
  <c r="B34" i="9"/>
  <c r="D34" s="1"/>
  <c r="K214" i="11"/>
  <c r="L214" s="1"/>
  <c r="K101"/>
  <c r="L101" s="1"/>
  <c r="K187"/>
  <c r="L187" s="1"/>
  <c r="K129"/>
  <c r="L129" s="1"/>
  <c r="K169"/>
  <c r="L169" s="1"/>
  <c r="K216"/>
  <c r="L216" s="1"/>
  <c r="K225"/>
  <c r="L225" s="1"/>
  <c r="K138"/>
  <c r="L138" s="1"/>
  <c r="K46"/>
  <c r="L46" s="1"/>
  <c r="K111"/>
  <c r="L111" s="1"/>
  <c r="K145"/>
  <c r="L145" s="1"/>
  <c r="K60"/>
  <c r="L60" s="1"/>
  <c r="K70"/>
  <c r="L70" s="1"/>
  <c r="K124"/>
  <c r="L124" s="1"/>
  <c r="K105"/>
  <c r="L105" s="1"/>
  <c r="K208"/>
  <c r="L208" s="1"/>
  <c r="K104"/>
  <c r="L104" s="1"/>
  <c r="K209"/>
  <c r="L209" s="1"/>
  <c r="K87"/>
  <c r="L87" s="1"/>
  <c r="K92"/>
  <c r="L92" s="1"/>
  <c r="K134"/>
  <c r="L134" s="1"/>
  <c r="K193"/>
  <c r="L193" s="1"/>
  <c r="K109"/>
  <c r="L109" s="1"/>
  <c r="K233"/>
  <c r="L233" s="1"/>
  <c r="K55"/>
  <c r="L55" s="1"/>
  <c r="K72"/>
  <c r="L72" s="1"/>
  <c r="K230"/>
  <c r="L230" s="1"/>
  <c r="K91"/>
  <c r="L91" s="1"/>
  <c r="K159"/>
  <c r="L159" s="1"/>
  <c r="K173"/>
  <c r="L173" s="1"/>
  <c r="K226"/>
  <c r="L226" s="1"/>
  <c r="K136"/>
  <c r="L136" s="1"/>
  <c r="K81"/>
  <c r="L81" s="1"/>
  <c r="K33"/>
  <c r="L33" s="1"/>
  <c r="K224"/>
  <c r="L224" s="1"/>
  <c r="K74"/>
  <c r="L74" s="1"/>
  <c r="K40"/>
  <c r="L40" s="1"/>
  <c r="K71"/>
  <c r="L71" s="1"/>
  <c r="K76"/>
  <c r="L76" s="1"/>
  <c r="K97"/>
  <c r="L97" s="1"/>
  <c r="K186"/>
  <c r="L186" s="1"/>
  <c r="K102"/>
  <c r="L102" s="1"/>
  <c r="K203"/>
  <c r="L203" s="1"/>
  <c r="K106"/>
  <c r="L106" s="1"/>
  <c r="K100"/>
  <c r="L100" s="1"/>
  <c r="K163"/>
  <c r="L163" s="1"/>
  <c r="K125"/>
  <c r="L125" s="1"/>
  <c r="K168"/>
  <c r="L168" s="1"/>
  <c r="K86"/>
  <c r="L86" s="1"/>
  <c r="K143"/>
  <c r="L143" s="1"/>
  <c r="K234"/>
  <c r="L234" s="1"/>
  <c r="K236"/>
  <c r="L236" s="1"/>
  <c r="K30"/>
  <c r="L30" s="1"/>
  <c r="K190"/>
  <c r="L190" s="1"/>
  <c r="K152"/>
  <c r="L152" s="1"/>
  <c r="K132"/>
  <c r="L132" s="1"/>
  <c r="K154"/>
  <c r="L154" s="1"/>
  <c r="K65"/>
  <c r="L65" s="1"/>
  <c r="K177"/>
  <c r="L177" s="1"/>
  <c r="K41"/>
  <c r="L41" s="1"/>
  <c r="K25"/>
  <c r="L25" s="1"/>
  <c r="K238"/>
  <c r="L238" s="1"/>
  <c r="K229"/>
  <c r="L229" s="1"/>
  <c r="K6"/>
  <c r="L6" s="1"/>
  <c r="K146"/>
  <c r="L146" s="1"/>
  <c r="K18"/>
  <c r="L18" s="1"/>
  <c r="K17"/>
  <c r="L17" s="1"/>
  <c r="K94"/>
  <c r="L94" s="1"/>
  <c r="K197"/>
  <c r="L197" s="1"/>
  <c r="K220"/>
  <c r="L220" s="1"/>
  <c r="K96"/>
  <c r="L96" s="1"/>
  <c r="K199"/>
  <c r="L199" s="1"/>
  <c r="K200"/>
  <c r="L200" s="1"/>
  <c r="K84"/>
  <c r="L84" s="1"/>
  <c r="K66"/>
  <c r="L66" s="1"/>
  <c r="K210"/>
  <c r="L210" s="1"/>
  <c r="K68"/>
  <c r="L68" s="1"/>
  <c r="K140"/>
  <c r="L140" s="1"/>
  <c r="K130"/>
  <c r="L130" s="1"/>
  <c r="K123"/>
  <c r="L123" s="1"/>
  <c r="K148"/>
  <c r="L148" s="1"/>
  <c r="K198"/>
  <c r="L198" s="1"/>
  <c r="K153"/>
  <c r="L153" s="1"/>
  <c r="K117"/>
  <c r="L117" s="1"/>
  <c r="K9"/>
  <c r="L9" s="1"/>
  <c r="K57"/>
  <c r="L57" s="1"/>
  <c r="K127"/>
  <c r="L127" s="1"/>
  <c r="K232"/>
  <c r="L232" s="1"/>
  <c r="K212"/>
  <c r="L212" s="1"/>
  <c r="K156"/>
  <c r="L156" s="1"/>
  <c r="K181"/>
  <c r="L181" s="1"/>
  <c r="K35"/>
  <c r="L35" s="1"/>
  <c r="K110"/>
  <c r="L110" s="1"/>
  <c r="K22"/>
  <c r="L22" s="1"/>
  <c r="K151"/>
  <c r="L151" s="1"/>
  <c r="K47"/>
  <c r="L47" s="1"/>
  <c r="K19"/>
  <c r="L19" s="1"/>
  <c r="K217"/>
  <c r="L217" s="1"/>
  <c r="K14"/>
  <c r="L14" s="1"/>
  <c r="K11"/>
  <c r="L11" s="1"/>
  <c r="K64"/>
  <c r="L64" s="1"/>
  <c r="K61"/>
  <c r="L61" s="1"/>
  <c r="K32"/>
  <c r="L32" s="1"/>
  <c r="K120"/>
  <c r="L120" s="1"/>
  <c r="K16"/>
  <c r="L16" s="1"/>
  <c r="K174"/>
  <c r="L174" s="1"/>
  <c r="K107"/>
  <c r="L107" s="1"/>
  <c r="K45"/>
  <c r="L45" s="1"/>
  <c r="K82"/>
  <c r="L82" s="1"/>
  <c r="K115"/>
  <c r="L115" s="1"/>
  <c r="K161"/>
  <c r="L161" s="1"/>
  <c r="K75"/>
  <c r="L75" s="1"/>
  <c r="K191"/>
  <c r="L191" s="1"/>
  <c r="K126"/>
  <c r="L126" s="1"/>
  <c r="K133"/>
  <c r="L133" s="1"/>
  <c r="K188"/>
  <c r="L188" s="1"/>
  <c r="K176"/>
  <c r="L176" s="1"/>
  <c r="K20"/>
  <c r="L20" s="1"/>
  <c r="K241"/>
  <c r="L241" s="1"/>
  <c r="K34"/>
  <c r="L34" s="1"/>
  <c r="K131"/>
  <c r="L131" s="1"/>
  <c r="K205"/>
  <c r="L205" s="1"/>
  <c r="K182"/>
  <c r="L182" s="1"/>
  <c r="K24"/>
  <c r="L24" s="1"/>
  <c r="K144"/>
  <c r="L144" s="1"/>
  <c r="K44"/>
  <c r="L44" s="1"/>
  <c r="K128"/>
  <c r="L128" s="1"/>
  <c r="K31"/>
  <c r="L31" s="1"/>
  <c r="K162"/>
  <c r="L162" s="1"/>
  <c r="K221"/>
  <c r="L221" s="1"/>
  <c r="K62"/>
  <c r="L62" s="1"/>
  <c r="K54"/>
  <c r="L54" s="1"/>
  <c r="K139"/>
  <c r="L139" s="1"/>
  <c r="K39"/>
  <c r="L39" s="1"/>
  <c r="K149"/>
  <c r="L149" s="1"/>
  <c r="K93"/>
  <c r="L93" s="1"/>
  <c r="K211"/>
  <c r="L211" s="1"/>
  <c r="K37"/>
  <c r="L37" s="1"/>
  <c r="K119"/>
  <c r="L119" s="1"/>
  <c r="K158"/>
  <c r="L158" s="1"/>
  <c r="K192"/>
  <c r="L192" s="1"/>
  <c r="K202"/>
  <c r="L202" s="1"/>
  <c r="K113"/>
  <c r="L113" s="1"/>
  <c r="K122"/>
  <c r="L122" s="1"/>
  <c r="K21"/>
  <c r="L21" s="1"/>
  <c r="K99"/>
  <c r="L99" s="1"/>
  <c r="K28"/>
  <c r="L28" s="1"/>
  <c r="K2"/>
  <c r="L2" s="1"/>
  <c r="K90"/>
  <c r="L90" s="1"/>
  <c r="K240"/>
  <c r="L240" s="1"/>
  <c r="K85"/>
  <c r="L85" s="1"/>
  <c r="K63"/>
  <c r="L63" s="1"/>
  <c r="K43"/>
  <c r="L43" s="1"/>
  <c r="K10"/>
  <c r="L10" s="1"/>
  <c r="K118"/>
  <c r="L118" s="1"/>
  <c r="K231"/>
  <c r="L231" s="1"/>
  <c r="K52"/>
  <c r="L52" s="1"/>
  <c r="K38"/>
  <c r="L38" s="1"/>
  <c r="K239"/>
  <c r="L239" s="1"/>
  <c r="K206"/>
  <c r="L206" s="1"/>
  <c r="K160"/>
  <c r="L160" s="1"/>
  <c r="K196"/>
  <c r="L196" s="1"/>
  <c r="K184"/>
  <c r="L184" s="1"/>
  <c r="K89"/>
  <c r="L89" s="1"/>
  <c r="K180"/>
  <c r="L180" s="1"/>
  <c r="K83"/>
  <c r="L83" s="1"/>
  <c r="K26"/>
  <c r="L26" s="1"/>
  <c r="K103"/>
  <c r="L103" s="1"/>
  <c r="K88"/>
  <c r="L88" s="1"/>
  <c r="K50"/>
  <c r="L50" s="1"/>
  <c r="K157"/>
  <c r="L157" s="1"/>
  <c r="K69"/>
  <c r="L69" s="1"/>
  <c r="K51"/>
  <c r="L51" s="1"/>
  <c r="K3"/>
  <c r="L3" s="1"/>
  <c r="K8"/>
  <c r="L8" s="1"/>
  <c r="K49"/>
  <c r="L49" s="1"/>
  <c r="K29"/>
  <c r="L29" s="1"/>
  <c r="K59"/>
  <c r="L59" s="1"/>
  <c r="K121"/>
  <c r="L121" s="1"/>
  <c r="K15"/>
  <c r="L15" s="1"/>
  <c r="K207"/>
  <c r="L207" s="1"/>
  <c r="K194"/>
  <c r="L194" s="1"/>
  <c r="K185"/>
  <c r="L185" s="1"/>
  <c r="K23"/>
  <c r="L23" s="1"/>
  <c r="K171"/>
  <c r="L171" s="1"/>
  <c r="K183"/>
  <c r="L183" s="1"/>
  <c r="K227"/>
  <c r="L227" s="1"/>
  <c r="K164"/>
  <c r="L164" s="1"/>
  <c r="K5"/>
  <c r="L5" s="1"/>
  <c r="K112"/>
  <c r="L112" s="1"/>
  <c r="K235"/>
  <c r="L235" s="1"/>
  <c r="K175"/>
  <c r="L175" s="1"/>
  <c r="K170"/>
  <c r="L170" s="1"/>
  <c r="K79"/>
  <c r="L79" s="1"/>
  <c r="K228"/>
  <c r="L228" s="1"/>
  <c r="K142"/>
  <c r="L142" s="1"/>
  <c r="K56"/>
  <c r="L56" s="1"/>
  <c r="K108"/>
  <c r="L108" s="1"/>
  <c r="K135"/>
  <c r="L135" s="1"/>
  <c r="K114"/>
  <c r="L114" s="1"/>
  <c r="K223"/>
  <c r="L223" s="1"/>
  <c r="K166"/>
  <c r="L166" s="1"/>
  <c r="K7"/>
  <c r="L7" s="1"/>
  <c r="K73"/>
  <c r="L73" s="1"/>
  <c r="K219"/>
  <c r="L219" s="1"/>
  <c r="K80"/>
  <c r="L80" s="1"/>
  <c r="K215"/>
  <c r="L215" s="1"/>
  <c r="K78"/>
  <c r="L78" s="1"/>
  <c r="K13"/>
  <c r="L13" s="1"/>
  <c r="K67"/>
  <c r="L67" s="1"/>
  <c r="K98"/>
  <c r="L98" s="1"/>
  <c r="K189"/>
  <c r="L189" s="1"/>
  <c r="K222"/>
  <c r="L222" s="1"/>
  <c r="K155"/>
  <c r="L155" s="1"/>
  <c r="K58"/>
  <c r="L58" s="1"/>
  <c r="K27"/>
  <c r="L27" s="1"/>
  <c r="K36"/>
  <c r="L36" s="1"/>
  <c r="K150"/>
  <c r="L150" s="1"/>
  <c r="K48"/>
  <c r="L48" s="1"/>
  <c r="K42"/>
  <c r="L42" s="1"/>
  <c r="K204"/>
  <c r="L204" s="1"/>
  <c r="K4"/>
  <c r="L4" s="1"/>
  <c r="K141"/>
  <c r="L141" s="1"/>
  <c r="B35" i="9"/>
  <c r="D35" s="1"/>
  <c r="A241" i="3"/>
  <c r="M2" i="9" s="1"/>
  <c r="A269" i="3"/>
  <c r="B39" i="9"/>
  <c r="D39" s="1"/>
  <c r="A255" i="3"/>
  <c r="B37" i="9"/>
  <c r="D37" s="1"/>
  <c r="H26" i="10"/>
  <c r="I26" s="1"/>
  <c r="J26" s="1"/>
  <c r="H12"/>
  <c r="I12" s="1"/>
  <c r="J12" s="1"/>
  <c r="H22"/>
  <c r="I22" s="1"/>
  <c r="J22" s="1"/>
  <c r="H11"/>
  <c r="I11" s="1"/>
  <c r="J11" s="1"/>
  <c r="H33"/>
  <c r="I33" s="1"/>
  <c r="J33" s="1"/>
  <c r="H41"/>
  <c r="I41" s="1"/>
  <c r="J41" s="1"/>
  <c r="H38"/>
  <c r="I38" s="1"/>
  <c r="J38" s="1"/>
  <c r="H16"/>
  <c r="I16" s="1"/>
  <c r="J16" s="1"/>
  <c r="H40"/>
  <c r="I40" s="1"/>
  <c r="J40" s="1"/>
  <c r="H8"/>
  <c r="I8" s="1"/>
  <c r="J8" s="1"/>
  <c r="H20"/>
  <c r="I20" s="1"/>
  <c r="J20" s="1"/>
  <c r="H14"/>
  <c r="I14" s="1"/>
  <c r="J14" s="1"/>
  <c r="H30"/>
  <c r="I30" s="1"/>
  <c r="J30" s="1"/>
  <c r="H21"/>
  <c r="I21" s="1"/>
  <c r="J21" s="1"/>
  <c r="H32"/>
  <c r="I32" s="1"/>
  <c r="J32" s="1"/>
  <c r="H5"/>
  <c r="I5" s="1"/>
  <c r="J5" s="1"/>
  <c r="H39"/>
  <c r="I39" s="1"/>
  <c r="J39" s="1"/>
  <c r="H28"/>
  <c r="I28" s="1"/>
  <c r="J28" s="1"/>
  <c r="H31"/>
  <c r="I31" s="1"/>
  <c r="J31" s="1"/>
  <c r="H25"/>
  <c r="I25" s="1"/>
  <c r="J25" s="1"/>
  <c r="H37"/>
  <c r="I37" s="1"/>
  <c r="J37" s="1"/>
  <c r="H7"/>
  <c r="I7" s="1"/>
  <c r="J7" s="1"/>
  <c r="H2"/>
  <c r="I2" s="1"/>
  <c r="J2" s="1"/>
  <c r="H3"/>
  <c r="I3" s="1"/>
  <c r="J3" s="1"/>
  <c r="H24"/>
  <c r="I24" s="1"/>
  <c r="J24" s="1"/>
  <c r="H6"/>
  <c r="I6" s="1"/>
  <c r="J6" s="1"/>
  <c r="H23"/>
  <c r="I23" s="1"/>
  <c r="J23" s="1"/>
  <c r="H19"/>
  <c r="I19" s="1"/>
  <c r="J19" s="1"/>
  <c r="H18"/>
  <c r="I18" s="1"/>
  <c r="J18" s="1"/>
  <c r="H34"/>
  <c r="I34" s="1"/>
  <c r="J34" s="1"/>
  <c r="H35"/>
  <c r="I35" s="1"/>
  <c r="J35" s="1"/>
  <c r="M2"/>
  <c r="M218" i="11"/>
  <c r="J218"/>
  <c r="J53"/>
  <c r="M53"/>
  <c r="M195"/>
  <c r="J195"/>
  <c r="M165"/>
  <c r="J165"/>
  <c r="M213"/>
  <c r="J213"/>
  <c r="M237"/>
  <c r="J237"/>
  <c r="M178"/>
  <c r="J178"/>
  <c r="M167"/>
  <c r="J167"/>
  <c r="J147"/>
  <c r="M147"/>
  <c r="J137"/>
  <c r="M137"/>
  <c r="M179"/>
  <c r="J179"/>
  <c r="J116"/>
  <c r="M116"/>
  <c r="M77"/>
  <c r="J77"/>
  <c r="J95"/>
  <c r="M95"/>
  <c r="M201"/>
  <c r="J201"/>
  <c r="J12"/>
  <c r="M12"/>
  <c r="M204" l="1"/>
  <c r="J204"/>
  <c r="M48"/>
  <c r="J48"/>
  <c r="M36"/>
  <c r="J36"/>
  <c r="J58"/>
  <c r="M58"/>
  <c r="J222"/>
  <c r="M222"/>
  <c r="J98"/>
  <c r="M98"/>
  <c r="M13"/>
  <c r="J13"/>
  <c r="M215"/>
  <c r="J215"/>
  <c r="M219"/>
  <c r="J219"/>
  <c r="M7"/>
  <c r="J7"/>
  <c r="J223"/>
  <c r="M223"/>
  <c r="J135"/>
  <c r="M135"/>
  <c r="M56"/>
  <c r="J56"/>
  <c r="J228"/>
  <c r="M228"/>
  <c r="M170"/>
  <c r="J170"/>
  <c r="J235"/>
  <c r="M235"/>
  <c r="J5"/>
  <c r="M5"/>
  <c r="J227"/>
  <c r="M227"/>
  <c r="M171"/>
  <c r="J171"/>
  <c r="M185"/>
  <c r="J185"/>
  <c r="J207"/>
  <c r="M207"/>
  <c r="J121"/>
  <c r="M121"/>
  <c r="J29"/>
  <c r="M29"/>
  <c r="J8"/>
  <c r="M8"/>
  <c r="M51"/>
  <c r="J51"/>
  <c r="M157"/>
  <c r="J157"/>
  <c r="M88"/>
  <c r="J88"/>
  <c r="J26"/>
  <c r="M26"/>
  <c r="M180"/>
  <c r="J180"/>
  <c r="M184"/>
  <c r="J184"/>
  <c r="M160"/>
  <c r="J160"/>
  <c r="M239"/>
  <c r="J239"/>
  <c r="M52"/>
  <c r="J52"/>
  <c r="J118"/>
  <c r="M118"/>
  <c r="J43"/>
  <c r="M43"/>
  <c r="M85"/>
  <c r="J85"/>
  <c r="M90"/>
  <c r="J90"/>
  <c r="M28"/>
  <c r="J28"/>
  <c r="J21"/>
  <c r="M21"/>
  <c r="J113"/>
  <c r="M113"/>
  <c r="M192"/>
  <c r="J192"/>
  <c r="M119"/>
  <c r="J119"/>
  <c r="M211"/>
  <c r="J211"/>
  <c r="M149"/>
  <c r="J149"/>
  <c r="J139"/>
  <c r="M139"/>
  <c r="M62"/>
  <c r="J62"/>
  <c r="M162"/>
  <c r="J162"/>
  <c r="J128"/>
  <c r="M128"/>
  <c r="J144"/>
  <c r="M144"/>
  <c r="M182"/>
  <c r="J182"/>
  <c r="J131"/>
  <c r="M131"/>
  <c r="M241"/>
  <c r="J241"/>
  <c r="M176"/>
  <c r="J176"/>
  <c r="J133"/>
  <c r="M133"/>
  <c r="J191"/>
  <c r="M191"/>
  <c r="M161"/>
  <c r="J161"/>
  <c r="J82"/>
  <c r="M82"/>
  <c r="M107"/>
  <c r="J107"/>
  <c r="J16"/>
  <c r="M16"/>
  <c r="J32"/>
  <c r="M32"/>
  <c r="J64"/>
  <c r="M64"/>
  <c r="M14"/>
  <c r="J14"/>
  <c r="M19"/>
  <c r="J19"/>
  <c r="J151"/>
  <c r="M151"/>
  <c r="M110"/>
  <c r="J110"/>
  <c r="M181"/>
  <c r="J181"/>
  <c r="M212"/>
  <c r="J212"/>
  <c r="M127"/>
  <c r="J127"/>
  <c r="M9"/>
  <c r="J9"/>
  <c r="J153"/>
  <c r="M153"/>
  <c r="J148"/>
  <c r="M148"/>
  <c r="M130"/>
  <c r="J130"/>
  <c r="J68"/>
  <c r="M68"/>
  <c r="J66"/>
  <c r="M66"/>
  <c r="M200"/>
  <c r="J200"/>
  <c r="J96"/>
  <c r="M96"/>
  <c r="M197"/>
  <c r="J197"/>
  <c r="M17"/>
  <c r="J17"/>
  <c r="J146"/>
  <c r="M146"/>
  <c r="M229"/>
  <c r="J229"/>
  <c r="M25"/>
  <c r="J25"/>
  <c r="M177"/>
  <c r="J177"/>
  <c r="J154"/>
  <c r="M154"/>
  <c r="J152"/>
  <c r="M152"/>
  <c r="M30"/>
  <c r="J30"/>
  <c r="M234"/>
  <c r="J234"/>
  <c r="M86"/>
  <c r="J86"/>
  <c r="J125"/>
  <c r="M125"/>
  <c r="J100"/>
  <c r="M100"/>
  <c r="M203"/>
  <c r="J203"/>
  <c r="M186"/>
  <c r="J186"/>
  <c r="J76"/>
  <c r="M76"/>
  <c r="J40"/>
  <c r="M40"/>
  <c r="M224"/>
  <c r="J224"/>
  <c r="M81"/>
  <c r="J81"/>
  <c r="M226"/>
  <c r="J226"/>
  <c r="J159"/>
  <c r="M159"/>
  <c r="M230"/>
  <c r="J230"/>
  <c r="J55"/>
  <c r="M55"/>
  <c r="J109"/>
  <c r="M109"/>
  <c r="M134"/>
  <c r="J134"/>
  <c r="J87"/>
  <c r="M87"/>
  <c r="M104"/>
  <c r="J104"/>
  <c r="J105"/>
  <c r="M105"/>
  <c r="J70"/>
  <c r="M70"/>
  <c r="J145"/>
  <c r="M145"/>
  <c r="M46"/>
  <c r="J46"/>
  <c r="M225"/>
  <c r="J225"/>
  <c r="M169"/>
  <c r="J169"/>
  <c r="M187"/>
  <c r="J187"/>
  <c r="M214"/>
  <c r="J214"/>
  <c r="M141"/>
  <c r="J141"/>
  <c r="J4"/>
  <c r="M4"/>
  <c r="M42"/>
  <c r="J42"/>
  <c r="M150"/>
  <c r="J150"/>
  <c r="M27"/>
  <c r="J27"/>
  <c r="J155"/>
  <c r="M155"/>
  <c r="J189"/>
  <c r="M189"/>
  <c r="M67"/>
  <c r="J67"/>
  <c r="J78"/>
  <c r="M78"/>
  <c r="M80"/>
  <c r="J80"/>
  <c r="J73"/>
  <c r="M73"/>
  <c r="M166"/>
  <c r="J166"/>
  <c r="J114"/>
  <c r="M114"/>
  <c r="J108"/>
  <c r="M108"/>
  <c r="J142"/>
  <c r="M142"/>
  <c r="M79"/>
  <c r="J79"/>
  <c r="M175"/>
  <c r="J175"/>
  <c r="J112"/>
  <c r="M112"/>
  <c r="M164"/>
  <c r="J164"/>
  <c r="M183"/>
  <c r="J183"/>
  <c r="M23"/>
  <c r="J23"/>
  <c r="M194"/>
  <c r="J194"/>
  <c r="M15"/>
  <c r="J15"/>
  <c r="J59"/>
  <c r="M59"/>
  <c r="J49"/>
  <c r="M49"/>
  <c r="J3"/>
  <c r="M3"/>
  <c r="M69"/>
  <c r="J69"/>
  <c r="J50"/>
  <c r="M50"/>
  <c r="J103"/>
  <c r="M103"/>
  <c r="J83"/>
  <c r="M83"/>
  <c r="M89"/>
  <c r="J89"/>
  <c r="M196"/>
  <c r="J196"/>
  <c r="M206"/>
  <c r="J206"/>
  <c r="J38"/>
  <c r="M38"/>
  <c r="J231"/>
  <c r="M231"/>
  <c r="J10"/>
  <c r="M10"/>
  <c r="M63"/>
  <c r="J63"/>
  <c r="J240"/>
  <c r="M240"/>
  <c r="J2"/>
  <c r="M2"/>
  <c r="J99"/>
  <c r="M99"/>
  <c r="J122"/>
  <c r="M122"/>
  <c r="M202"/>
  <c r="J202"/>
  <c r="J158"/>
  <c r="M158"/>
  <c r="J37"/>
  <c r="M37"/>
  <c r="M93"/>
  <c r="J93"/>
  <c r="J39"/>
  <c r="M39"/>
  <c r="M54"/>
  <c r="J54"/>
  <c r="M221"/>
  <c r="J221"/>
  <c r="J31"/>
  <c r="M31"/>
  <c r="M44"/>
  <c r="J44"/>
  <c r="M24"/>
  <c r="J24"/>
  <c r="M205"/>
  <c r="J205"/>
  <c r="J34"/>
  <c r="M34"/>
  <c r="J20"/>
  <c r="M20"/>
  <c r="M188"/>
  <c r="J188"/>
  <c r="J126"/>
  <c r="M126"/>
  <c r="M75"/>
  <c r="J75"/>
  <c r="M115"/>
  <c r="J115"/>
  <c r="M45"/>
  <c r="J45"/>
  <c r="M174"/>
  <c r="J174"/>
  <c r="M120"/>
  <c r="J120"/>
  <c r="M61"/>
  <c r="J61"/>
  <c r="M11"/>
  <c r="J11"/>
  <c r="M217"/>
  <c r="J217"/>
  <c r="J47"/>
  <c r="M47"/>
  <c r="M22"/>
  <c r="J22"/>
  <c r="J35"/>
  <c r="M35"/>
  <c r="J156"/>
  <c r="M156"/>
  <c r="J232"/>
  <c r="M232"/>
  <c r="M57"/>
  <c r="J57"/>
  <c r="J117"/>
  <c r="M117"/>
  <c r="M198"/>
  <c r="J198"/>
  <c r="M123"/>
  <c r="J123"/>
  <c r="M140"/>
  <c r="J140"/>
  <c r="M210"/>
  <c r="J210"/>
  <c r="M84"/>
  <c r="J84"/>
  <c r="M199"/>
  <c r="J199"/>
  <c r="M220"/>
  <c r="J220"/>
  <c r="J94"/>
  <c r="M94"/>
  <c r="M18"/>
  <c r="J18"/>
  <c r="J6"/>
  <c r="M6"/>
  <c r="J238"/>
  <c r="M238"/>
  <c r="M41"/>
  <c r="J41"/>
  <c r="M65"/>
  <c r="J65"/>
  <c r="J132"/>
  <c r="M132"/>
  <c r="M190"/>
  <c r="J190"/>
  <c r="M236"/>
  <c r="J236"/>
  <c r="M143"/>
  <c r="J143"/>
  <c r="M168"/>
  <c r="J168"/>
  <c r="J163"/>
  <c r="M163"/>
  <c r="M106"/>
  <c r="J106"/>
  <c r="M102"/>
  <c r="J102"/>
  <c r="J97"/>
  <c r="M97"/>
  <c r="J71"/>
  <c r="M71"/>
  <c r="J74"/>
  <c r="M74"/>
  <c r="M33"/>
  <c r="J33"/>
  <c r="J136"/>
  <c r="M136"/>
  <c r="M173"/>
  <c r="J173"/>
  <c r="M91"/>
  <c r="J91"/>
  <c r="J72"/>
  <c r="M72"/>
  <c r="M233"/>
  <c r="J233"/>
  <c r="M193"/>
  <c r="J193"/>
  <c r="J92"/>
  <c r="M92"/>
  <c r="J209"/>
  <c r="M209"/>
  <c r="J208"/>
  <c r="M208"/>
  <c r="M124"/>
  <c r="J124"/>
  <c r="M60"/>
  <c r="J60"/>
  <c r="J111"/>
  <c r="M111"/>
  <c r="M138"/>
  <c r="J138"/>
  <c r="M216"/>
  <c r="J216"/>
  <c r="M129"/>
  <c r="J129"/>
  <c r="J101"/>
  <c r="M101"/>
  <c r="H2" i="9"/>
  <c r="H17"/>
  <c r="H16"/>
  <c r="H32"/>
  <c r="H11"/>
  <c r="H31"/>
  <c r="H39"/>
  <c r="I39" s="1"/>
  <c r="H5"/>
  <c r="H30"/>
  <c r="H21"/>
  <c r="H33"/>
  <c r="H37"/>
  <c r="I37" s="1"/>
  <c r="H24"/>
  <c r="H28"/>
  <c r="H41"/>
  <c r="I41" s="1"/>
  <c r="H15"/>
  <c r="H29"/>
  <c r="H36"/>
  <c r="I36" s="1"/>
  <c r="H19"/>
  <c r="H10"/>
  <c r="H20"/>
  <c r="H27"/>
  <c r="H4"/>
  <c r="H6"/>
  <c r="H7"/>
  <c r="H25"/>
  <c r="H14"/>
  <c r="H23"/>
  <c r="H22"/>
  <c r="H34"/>
  <c r="H26"/>
  <c r="H3"/>
  <c r="H12"/>
  <c r="H9"/>
  <c r="H35"/>
  <c r="I35" s="1"/>
  <c r="H40"/>
  <c r="I40" s="1"/>
  <c r="H8"/>
  <c r="H38"/>
  <c r="I38" s="1"/>
  <c r="H18"/>
  <c r="H13"/>
  <c r="E28" i="15" l="1"/>
  <c r="I24" i="9"/>
  <c r="E37" i="15"/>
  <c r="I33" i="9"/>
  <c r="E34" i="15"/>
  <c r="I30" i="9"/>
  <c r="T39"/>
  <c r="J39"/>
  <c r="A38" i="12" s="1"/>
  <c r="P38" i="14" s="1"/>
  <c r="I11" i="9"/>
  <c r="E15" i="15"/>
  <c r="I16" i="9"/>
  <c r="E20" i="15"/>
  <c r="I2" i="9"/>
  <c r="E6" i="15"/>
  <c r="E22"/>
  <c r="I18" i="9"/>
  <c r="E12" i="15"/>
  <c r="I8" i="9"/>
  <c r="T35"/>
  <c r="J35"/>
  <c r="A34" i="12" s="1"/>
  <c r="P34" i="14" s="1"/>
  <c r="I12" i="9"/>
  <c r="E16" i="15"/>
  <c r="I26" i="9"/>
  <c r="E30" i="15"/>
  <c r="I22" i="9"/>
  <c r="E26" i="15"/>
  <c r="E18"/>
  <c r="I14" i="9"/>
  <c r="I7"/>
  <c r="E11" i="15"/>
  <c r="E8"/>
  <c r="I4" i="9"/>
  <c r="E24" i="15"/>
  <c r="I20" i="9"/>
  <c r="I19"/>
  <c r="E23" i="15"/>
  <c r="E33"/>
  <c r="I29" i="9"/>
  <c r="J41"/>
  <c r="A40" i="12" s="1"/>
  <c r="P40" i="14" s="1"/>
  <c r="T41" i="9"/>
  <c r="E17" i="15"/>
  <c r="I13" i="9"/>
  <c r="T38"/>
  <c r="J38"/>
  <c r="A37" i="12" s="1"/>
  <c r="P37" i="14" s="1"/>
  <c r="J40" i="9"/>
  <c r="A39" i="12" s="1"/>
  <c r="P39" i="14" s="1"/>
  <c r="T40" i="9"/>
  <c r="E13" i="15"/>
  <c r="I9" i="9"/>
  <c r="I3"/>
  <c r="E7" i="15"/>
  <c r="I34" i="9"/>
  <c r="E38" i="15"/>
  <c r="I23" i="9"/>
  <c r="E27" i="15"/>
  <c r="E29"/>
  <c r="I25" i="9"/>
  <c r="E10" i="15"/>
  <c r="I6" i="9"/>
  <c r="E31" i="15"/>
  <c r="I27" i="9"/>
  <c r="I10"/>
  <c r="E14" i="15"/>
  <c r="J36" i="9"/>
  <c r="A35" i="12" s="1"/>
  <c r="P35" i="14" s="1"/>
  <c r="T36" i="9"/>
  <c r="I15"/>
  <c r="E19" i="15"/>
  <c r="E32"/>
  <c r="I28" i="9"/>
  <c r="T37"/>
  <c r="J37"/>
  <c r="A36" i="12" s="1"/>
  <c r="P36" i="14" s="1"/>
  <c r="I21" i="9"/>
  <c r="E25" i="15"/>
  <c r="I5" i="9"/>
  <c r="E9" i="15"/>
  <c r="E35"/>
  <c r="I31" i="9"/>
  <c r="I32"/>
  <c r="E36" i="15"/>
  <c r="I17" i="9"/>
  <c r="E21" i="15"/>
  <c r="T17" i="9" l="1"/>
  <c r="H21" i="15" s="1"/>
  <c r="J17" i="9"/>
  <c r="F21" i="15"/>
  <c r="F25"/>
  <c r="J21" i="9"/>
  <c r="T21"/>
  <c r="H25" i="15" s="1"/>
  <c r="T23" i="9"/>
  <c r="H27" i="15" s="1"/>
  <c r="F27"/>
  <c r="J23" i="9"/>
  <c r="F23" i="15"/>
  <c r="J19" i="9"/>
  <c r="T19"/>
  <c r="H23" i="15" s="1"/>
  <c r="J7" i="9"/>
  <c r="F11" i="15"/>
  <c r="T7" i="9"/>
  <c r="H11" i="15" s="1"/>
  <c r="T26" i="9"/>
  <c r="H30" i="15" s="1"/>
  <c r="F30"/>
  <c r="J26" i="9"/>
  <c r="J12"/>
  <c r="F16" i="15"/>
  <c r="T12" i="9"/>
  <c r="H16" i="15" s="1"/>
  <c r="F6"/>
  <c r="T2" i="9"/>
  <c r="H6" i="15" s="1"/>
  <c r="J2" i="9"/>
  <c r="F20" i="15"/>
  <c r="J16" i="9"/>
  <c r="T16"/>
  <c r="H20" i="15" s="1"/>
  <c r="F15"/>
  <c r="T11" i="9"/>
  <c r="H15" i="15" s="1"/>
  <c r="J11" i="9"/>
  <c r="T32"/>
  <c r="H36" i="15" s="1"/>
  <c r="J32" i="9"/>
  <c r="F36" i="15"/>
  <c r="T5" i="9"/>
  <c r="H9" i="15" s="1"/>
  <c r="F9"/>
  <c r="J5" i="9"/>
  <c r="F19" i="15"/>
  <c r="J15" i="9"/>
  <c r="T15"/>
  <c r="H19" i="15" s="1"/>
  <c r="F14"/>
  <c r="J10" i="9"/>
  <c r="T10"/>
  <c r="H14" i="15" s="1"/>
  <c r="J34" i="9"/>
  <c r="F38" i="15"/>
  <c r="T34" i="9"/>
  <c r="H38" i="15" s="1"/>
  <c r="T3" i="9"/>
  <c r="H7" i="15" s="1"/>
  <c r="F7"/>
  <c r="J3" i="9"/>
  <c r="J22"/>
  <c r="F26" i="15"/>
  <c r="T22" i="9"/>
  <c r="H26" i="15" s="1"/>
  <c r="F35"/>
  <c r="J31" i="9"/>
  <c r="T31"/>
  <c r="H35" i="15" s="1"/>
  <c r="J28" i="9"/>
  <c r="F32" i="15"/>
  <c r="T28" i="9"/>
  <c r="H32" i="15" s="1"/>
  <c r="F31"/>
  <c r="T27" i="9"/>
  <c r="H31" i="15" s="1"/>
  <c r="J27" i="9"/>
  <c r="J6"/>
  <c r="T6"/>
  <c r="H10" i="15" s="1"/>
  <c r="F10"/>
  <c r="F29"/>
  <c r="J25" i="9"/>
  <c r="T25"/>
  <c r="H29" i="15" s="1"/>
  <c r="J9" i="9"/>
  <c r="T9"/>
  <c r="H13" i="15" s="1"/>
  <c r="F13"/>
  <c r="T13" i="9"/>
  <c r="H17" i="15" s="1"/>
  <c r="F17"/>
  <c r="J13" i="9"/>
  <c r="T29"/>
  <c r="H33" i="15" s="1"/>
  <c r="F33"/>
  <c r="J29" i="9"/>
  <c r="T20"/>
  <c r="H24" i="15" s="1"/>
  <c r="J20" i="9"/>
  <c r="F24" i="15"/>
  <c r="T4" i="9"/>
  <c r="H8" i="15" s="1"/>
  <c r="F8"/>
  <c r="J4" i="9"/>
  <c r="T14"/>
  <c r="H18" i="15" s="1"/>
  <c r="J14" i="9"/>
  <c r="F18" i="15"/>
  <c r="T8" i="9"/>
  <c r="H12" i="15" s="1"/>
  <c r="J8" i="9"/>
  <c r="F12" i="15"/>
  <c r="F22"/>
  <c r="J18" i="9"/>
  <c r="T18"/>
  <c r="H22" i="15" s="1"/>
  <c r="J30" i="9"/>
  <c r="T30"/>
  <c r="H34" i="15" s="1"/>
  <c r="F34"/>
  <c r="F37"/>
  <c r="J33" i="9"/>
  <c r="T33"/>
  <c r="H37" i="15" s="1"/>
  <c r="F28"/>
  <c r="T24" i="9"/>
  <c r="H28" i="15" s="1"/>
  <c r="J24" i="9"/>
  <c r="G28" i="15" l="1"/>
  <c r="A23" i="12"/>
  <c r="P23" i="14" s="1"/>
  <c r="A32" i="12"/>
  <c r="P32" i="14" s="1"/>
  <c r="G37" i="15"/>
  <c r="G34"/>
  <c r="A29" i="12"/>
  <c r="P29" i="14" s="1"/>
  <c r="A17" i="12"/>
  <c r="P17" i="14" s="1"/>
  <c r="G22" i="15"/>
  <c r="G18"/>
  <c r="A13" i="12"/>
  <c r="P13" i="14" s="1"/>
  <c r="G8" i="15"/>
  <c r="A3" i="12"/>
  <c r="P3" i="14" s="1"/>
  <c r="A19" i="12"/>
  <c r="P19" i="14" s="1"/>
  <c r="G24" i="15"/>
  <c r="G33"/>
  <c r="A28" i="12"/>
  <c r="P28" i="14" s="1"/>
  <c r="A8" i="12"/>
  <c r="P8" i="14" s="1"/>
  <c r="G13" i="15"/>
  <c r="G29"/>
  <c r="A24" i="12"/>
  <c r="P24" i="14" s="1"/>
  <c r="G10" i="15"/>
  <c r="A5" i="12"/>
  <c r="P5" i="14" s="1"/>
  <c r="A27" i="12"/>
  <c r="P27" i="14" s="1"/>
  <c r="G32" i="15"/>
  <c r="G35"/>
  <c r="A30" i="12"/>
  <c r="P30" i="14" s="1"/>
  <c r="A21" i="12"/>
  <c r="P21" i="14" s="1"/>
  <c r="G26" i="15"/>
  <c r="G38"/>
  <c r="A33" i="12"/>
  <c r="P33" i="14" s="1"/>
  <c r="A9" i="12"/>
  <c r="P9" i="14" s="1"/>
  <c r="G14" i="15"/>
  <c r="A11" i="12"/>
  <c r="P11" i="14" s="1"/>
  <c r="G16" i="15"/>
  <c r="A6" i="12"/>
  <c r="P6" i="14" s="1"/>
  <c r="G11" i="15"/>
  <c r="G23"/>
  <c r="A18" i="12"/>
  <c r="P18" i="14" s="1"/>
  <c r="A22" i="12"/>
  <c r="P22" i="14" s="1"/>
  <c r="G27" i="15"/>
  <c r="G25"/>
  <c r="A20" i="12"/>
  <c r="P20" i="14" s="1"/>
  <c r="G12" i="15"/>
  <c r="A7" i="12"/>
  <c r="P7" i="14" s="1"/>
  <c r="A12" i="12"/>
  <c r="P12" i="14" s="1"/>
  <c r="G17" i="15"/>
  <c r="G31"/>
  <c r="A26" i="12"/>
  <c r="P26" i="14" s="1"/>
  <c r="G7" i="15"/>
  <c r="A2" i="12"/>
  <c r="P2" i="14" s="1"/>
  <c r="A14" i="12"/>
  <c r="P14" i="14" s="1"/>
  <c r="G19" i="15"/>
  <c r="G9"/>
  <c r="A4" i="12"/>
  <c r="P4" i="14" s="1"/>
  <c r="A31" i="12"/>
  <c r="P31" i="14" s="1"/>
  <c r="G36" i="15"/>
  <c r="G15"/>
  <c r="A10" i="12"/>
  <c r="P10" i="14" s="1"/>
  <c r="G20" i="15"/>
  <c r="A15" i="12"/>
  <c r="P15" i="14" s="1"/>
  <c r="A1" i="12"/>
  <c r="P1" i="14" s="1"/>
  <c r="J5" s="1"/>
  <c r="G6" i="15"/>
  <c r="G30"/>
  <c r="A25" i="12"/>
  <c r="P25" i="14" s="1"/>
  <c r="G21" i="15"/>
  <c r="A16" i="12"/>
  <c r="P16" i="14" s="1"/>
</calcChain>
</file>

<file path=xl/sharedStrings.xml><?xml version="1.0" encoding="utf-8"?>
<sst xmlns="http://schemas.openxmlformats.org/spreadsheetml/2006/main" count="4307" uniqueCount="2954">
  <si>
    <t>13.32</t>
  </si>
  <si>
    <t>44.80</t>
  </si>
  <si>
    <t>1:44.10</t>
  </si>
  <si>
    <t>16.94</t>
  </si>
  <si>
    <t>16.7</t>
  </si>
  <si>
    <t>52.04</t>
  </si>
  <si>
    <t>51.8</t>
  </si>
  <si>
    <t>5.10</t>
  </si>
  <si>
    <t>9.70</t>
  </si>
  <si>
    <t>10.04</t>
  </si>
  <si>
    <t>30.15</t>
  </si>
  <si>
    <t>34.44</t>
  </si>
  <si>
    <t>8.22</t>
  </si>
  <si>
    <t>13.34</t>
  </si>
  <si>
    <t>13.1</t>
  </si>
  <si>
    <t>44.85</t>
  </si>
  <si>
    <t>44.6</t>
  </si>
  <si>
    <t>1:44.20</t>
  </si>
  <si>
    <t>16.77</t>
  </si>
  <si>
    <t>16.96</t>
  </si>
  <si>
    <t>52.09</t>
  </si>
  <si>
    <t>1.52</t>
  </si>
  <si>
    <t>5.09</t>
  </si>
  <si>
    <t>9.65</t>
  </si>
  <si>
    <t>29.95</t>
  </si>
  <si>
    <t>34.32</t>
  </si>
  <si>
    <t>61.0</t>
  </si>
  <si>
    <t>8.23</t>
  </si>
  <si>
    <t>13.36</t>
  </si>
  <si>
    <t>44.90</t>
  </si>
  <si>
    <t>1:44.30</t>
  </si>
  <si>
    <t>16.79</t>
  </si>
  <si>
    <t>16.98</t>
  </si>
  <si>
    <t>52.14</t>
  </si>
  <si>
    <t>51.9</t>
  </si>
  <si>
    <t>9.60</t>
  </si>
  <si>
    <t>9.96</t>
  </si>
  <si>
    <t>29.75</t>
  </si>
  <si>
    <t>34.20</t>
  </si>
  <si>
    <t>8.25</t>
  </si>
  <si>
    <t>8.0</t>
  </si>
  <si>
    <t>13.38</t>
  </si>
  <si>
    <t>44.95</t>
  </si>
  <si>
    <t>44.7</t>
  </si>
  <si>
    <t>1:44.40</t>
  </si>
  <si>
    <t>17.00</t>
  </si>
  <si>
    <t>52.19</t>
  </si>
  <si>
    <t>5.08</t>
  </si>
  <si>
    <t>9.55</t>
  </si>
  <si>
    <t>9.92</t>
  </si>
  <si>
    <t>29.55</t>
  </si>
  <si>
    <t>34.08</t>
  </si>
  <si>
    <t>8.26</t>
  </si>
  <si>
    <t>13.40</t>
  </si>
  <si>
    <t>45.00</t>
  </si>
  <si>
    <t>1:44.50</t>
  </si>
  <si>
    <t>16.83</t>
  </si>
  <si>
    <t>17.02</t>
  </si>
  <si>
    <t>52.24</t>
  </si>
  <si>
    <t>52.0</t>
  </si>
  <si>
    <t>1.51</t>
  </si>
  <si>
    <t>5.07</t>
  </si>
  <si>
    <t>9.50</t>
  </si>
  <si>
    <t>9.88</t>
  </si>
  <si>
    <t>29.35</t>
  </si>
  <si>
    <t>33.94</t>
  </si>
  <si>
    <t>8.27</t>
  </si>
  <si>
    <t>13.42</t>
  </si>
  <si>
    <t>45.05</t>
  </si>
  <si>
    <t>44.8</t>
  </si>
  <si>
    <t>1:44.60</t>
  </si>
  <si>
    <t>16.85</t>
  </si>
  <si>
    <t>17.04</t>
  </si>
  <si>
    <t>16.8</t>
  </si>
  <si>
    <t>52.29</t>
  </si>
  <si>
    <t>5.06</t>
  </si>
  <si>
    <t>9.45</t>
  </si>
  <si>
    <t>9.84</t>
  </si>
  <si>
    <t>29.15</t>
  </si>
  <si>
    <t>33.80</t>
  </si>
  <si>
    <t>60.0</t>
  </si>
  <si>
    <t>8.29</t>
  </si>
  <si>
    <t>13.44</t>
  </si>
  <si>
    <t>13.2</t>
  </si>
  <si>
    <t>45.10</t>
  </si>
  <si>
    <t>1:44.70</t>
  </si>
  <si>
    <t>17.06</t>
  </si>
  <si>
    <t>52.34</t>
  </si>
  <si>
    <t>52.1</t>
  </si>
  <si>
    <t>9.40</t>
  </si>
  <si>
    <t>28.95</t>
  </si>
  <si>
    <t>33.66</t>
  </si>
  <si>
    <t>8.30</t>
  </si>
  <si>
    <t>13.46</t>
  </si>
  <si>
    <t>45.15</t>
  </si>
  <si>
    <t>44.9</t>
  </si>
  <si>
    <t>1:44.80</t>
  </si>
  <si>
    <t>16.89</t>
  </si>
  <si>
    <t>17.08</t>
  </si>
  <si>
    <t>52.39</t>
  </si>
  <si>
    <t>1.50</t>
  </si>
  <si>
    <t>5.05</t>
  </si>
  <si>
    <t>9.35</t>
  </si>
  <si>
    <t>9.76</t>
  </si>
  <si>
    <t>28.76</t>
  </si>
  <si>
    <t>33.52</t>
  </si>
  <si>
    <t>8.32</t>
  </si>
  <si>
    <t>45.20</t>
  </si>
  <si>
    <t>1:44.90</t>
  </si>
  <si>
    <t>16.91</t>
  </si>
  <si>
    <t>17.10</t>
  </si>
  <si>
    <t>52.44</t>
  </si>
  <si>
    <t>52.2</t>
  </si>
  <si>
    <t>5.04</t>
  </si>
  <si>
    <t>9.30</t>
  </si>
  <si>
    <t>9.72</t>
  </si>
  <si>
    <t>28.58</t>
  </si>
  <si>
    <t>33.38</t>
  </si>
  <si>
    <t>8.33</t>
  </si>
  <si>
    <t>13.50</t>
  </si>
  <si>
    <t>45.25</t>
  </si>
  <si>
    <t>45.0</t>
  </si>
  <si>
    <t>1:45.00</t>
  </si>
  <si>
    <t>16.93</t>
  </si>
  <si>
    <t>17.12</t>
  </si>
  <si>
    <t>52.49</t>
  </si>
  <si>
    <t>5.03</t>
  </si>
  <si>
    <t>9.25</t>
  </si>
  <si>
    <t>9.69</t>
  </si>
  <si>
    <t>28.40</t>
  </si>
  <si>
    <t>33.24</t>
  </si>
  <si>
    <t>8.34</t>
  </si>
  <si>
    <t>13.52</t>
  </si>
  <si>
    <t>45.30</t>
  </si>
  <si>
    <t>1:45.10</t>
  </si>
  <si>
    <t>16.95</t>
  </si>
  <si>
    <t>17.14</t>
  </si>
  <si>
    <t>16.9</t>
  </si>
  <si>
    <t>52.54</t>
  </si>
  <si>
    <t>52.3</t>
  </si>
  <si>
    <t>9.20</t>
  </si>
  <si>
    <t>9.66</t>
  </si>
  <si>
    <t>28.22</t>
  </si>
  <si>
    <t>33.10</t>
  </si>
  <si>
    <t>8.35</t>
  </si>
  <si>
    <t>8.1</t>
  </si>
  <si>
    <t>13.3</t>
  </si>
  <si>
    <t>45.34</t>
  </si>
  <si>
    <t>45.1</t>
  </si>
  <si>
    <t>1:45.20</t>
  </si>
  <si>
    <t>16.97</t>
  </si>
  <si>
    <t>17.16</t>
  </si>
  <si>
    <t>52.59</t>
  </si>
  <si>
    <t>1.49</t>
  </si>
  <si>
    <t>5.02</t>
  </si>
  <si>
    <t>9.15</t>
  </si>
  <si>
    <t>9.62</t>
  </si>
  <si>
    <t>28.04</t>
  </si>
  <si>
    <t>32.96</t>
  </si>
  <si>
    <t>58.5</t>
  </si>
  <si>
    <t>8.36</t>
  </si>
  <si>
    <t>13.57</t>
  </si>
  <si>
    <t>45.38</t>
  </si>
  <si>
    <t>1:45.30</t>
  </si>
  <si>
    <t>16.99</t>
  </si>
  <si>
    <t>17.18</t>
  </si>
  <si>
    <t>52.64</t>
  </si>
  <si>
    <t>52.4</t>
  </si>
  <si>
    <t>5.01</t>
  </si>
  <si>
    <t>9.10</t>
  </si>
  <si>
    <t>9.59</t>
  </si>
  <si>
    <t>27.86</t>
  </si>
  <si>
    <t>32.82</t>
  </si>
  <si>
    <t>8.38</t>
  </si>
  <si>
    <t>13.59</t>
  </si>
  <si>
    <t>45.42</t>
  </si>
  <si>
    <t>1:45.40</t>
  </si>
  <si>
    <t>17.01</t>
  </si>
  <si>
    <t>17.20</t>
  </si>
  <si>
    <t>52.69</t>
  </si>
  <si>
    <t>5.00</t>
  </si>
  <si>
    <t>9.04</t>
  </si>
  <si>
    <t>27.68</t>
  </si>
  <si>
    <t>32.68</t>
  </si>
  <si>
    <t>58.0</t>
  </si>
  <si>
    <t>8.39</t>
  </si>
  <si>
    <t>13.61</t>
  </si>
  <si>
    <t>45.45</t>
  </si>
  <si>
    <t>45.2</t>
  </si>
  <si>
    <t>1:45.50</t>
  </si>
  <si>
    <t>17.03</t>
  </si>
  <si>
    <t>17.22</t>
  </si>
  <si>
    <t>52.74</t>
  </si>
  <si>
    <t>52.5</t>
  </si>
  <si>
    <t>8.97</t>
  </si>
  <si>
    <t>9.52</t>
  </si>
  <si>
    <t>27.50</t>
  </si>
  <si>
    <t>32.54</t>
  </si>
  <si>
    <t>8.40</t>
  </si>
  <si>
    <t>13.63</t>
  </si>
  <si>
    <t>45.49</t>
  </si>
  <si>
    <t>1:45.60</t>
  </si>
  <si>
    <t>17.05</t>
  </si>
  <si>
    <t>17.23</t>
  </si>
  <si>
    <t>52.79</t>
  </si>
  <si>
    <t>1.48</t>
  </si>
  <si>
    <t>4.99</t>
  </si>
  <si>
    <t>8.91</t>
  </si>
  <si>
    <t>9.48</t>
  </si>
  <si>
    <t>27.33</t>
  </si>
  <si>
    <t>57.5</t>
  </si>
  <si>
    <t>8.41</t>
  </si>
  <si>
    <t>13.65</t>
  </si>
  <si>
    <t>13.4</t>
  </si>
  <si>
    <t>45.53</t>
  </si>
  <si>
    <t>45.3</t>
  </si>
  <si>
    <t>1:45.70</t>
  </si>
  <si>
    <t>17.07</t>
  </si>
  <si>
    <t>17.25</t>
  </si>
  <si>
    <t>17.0</t>
  </si>
  <si>
    <t>52.84</t>
  </si>
  <si>
    <t>52.6</t>
  </si>
  <si>
    <t>4.98</t>
  </si>
  <si>
    <t>8.86</t>
  </si>
  <si>
    <t>9.44</t>
  </si>
  <si>
    <t>27.16</t>
  </si>
  <si>
    <t>32.26</t>
  </si>
  <si>
    <t>8.42</t>
  </si>
  <si>
    <t>13.66</t>
  </si>
  <si>
    <t>45.57</t>
  </si>
  <si>
    <t>1:45.80</t>
  </si>
  <si>
    <t>17.09</t>
  </si>
  <si>
    <t>17.26</t>
  </si>
  <si>
    <t>52.89</t>
  </si>
  <si>
    <t>4.97</t>
  </si>
  <si>
    <t>8.81</t>
  </si>
  <si>
    <t>26.99</t>
  </si>
  <si>
    <t>32.12</t>
  </si>
  <si>
    <t>57.0</t>
  </si>
  <si>
    <t>8.43</t>
  </si>
  <si>
    <t>13.68</t>
  </si>
  <si>
    <t>45.61</t>
  </si>
  <si>
    <t>1:45.90</t>
  </si>
  <si>
    <t>17.11</t>
  </si>
  <si>
    <t>17.27</t>
  </si>
  <si>
    <t>52.94</t>
  </si>
  <si>
    <t>52.7</t>
  </si>
  <si>
    <t>8.77</t>
  </si>
  <si>
    <t>9.36</t>
  </si>
  <si>
    <t>26.82</t>
  </si>
  <si>
    <t>31.98</t>
  </si>
  <si>
    <t>8.44</t>
  </si>
  <si>
    <t>13.70</t>
  </si>
  <si>
    <t>45.65</t>
  </si>
  <si>
    <t>45.4</t>
  </si>
  <si>
    <t>1:46.00</t>
  </si>
  <si>
    <t>17.13</t>
  </si>
  <si>
    <t>17.28</t>
  </si>
  <si>
    <t>52.99</t>
  </si>
  <si>
    <t>1.47</t>
  </si>
  <si>
    <t>4.96</t>
  </si>
  <si>
    <t>8.73</t>
  </si>
  <si>
    <t>9.33</t>
  </si>
  <si>
    <t>WPISZ NAZWĘ WOJEWÓDZTWA</t>
  </si>
  <si>
    <t>26.65</t>
  </si>
  <si>
    <t>31.84</t>
  </si>
  <si>
    <t>56.5</t>
  </si>
  <si>
    <t>8.45</t>
  </si>
  <si>
    <t>8.2</t>
  </si>
  <si>
    <t>13.72</t>
  </si>
  <si>
    <t>45.70</t>
  </si>
  <si>
    <t>1:46.10</t>
  </si>
  <si>
    <t>17.15</t>
  </si>
  <si>
    <t>17.29</t>
  </si>
  <si>
    <t>53.04</t>
  </si>
  <si>
    <t>52.8</t>
  </si>
  <si>
    <t>4.95</t>
  </si>
  <si>
    <t>8.69</t>
  </si>
  <si>
    <t>9.29</t>
  </si>
  <si>
    <t>26.48</t>
  </si>
  <si>
    <t>31.70</t>
  </si>
  <si>
    <t>8.46</t>
  </si>
  <si>
    <t>13.73</t>
  </si>
  <si>
    <t>45.75</t>
  </si>
  <si>
    <t>45.5</t>
  </si>
  <si>
    <t>1:46.20</t>
  </si>
  <si>
    <t>17.17</t>
  </si>
  <si>
    <t>17.30</t>
  </si>
  <si>
    <t>53.09</t>
  </si>
  <si>
    <t>4.94</t>
  </si>
  <si>
    <t>8.65</t>
  </si>
  <si>
    <t>26.31</t>
  </si>
  <si>
    <t>31.56</t>
  </si>
  <si>
    <t>56.0</t>
  </si>
  <si>
    <t>8.47</t>
  </si>
  <si>
    <t>13.75</t>
  </si>
  <si>
    <t>13.5</t>
  </si>
  <si>
    <t>1:46.30</t>
  </si>
  <si>
    <t>17.19</t>
  </si>
  <si>
    <t>17.31</t>
  </si>
  <si>
    <t>53.14</t>
  </si>
  <si>
    <t>52.9</t>
  </si>
  <si>
    <t>8.61</t>
  </si>
  <si>
    <t>9.21</t>
  </si>
  <si>
    <t>26.14</t>
  </si>
  <si>
    <t>31.42</t>
  </si>
  <si>
    <t>8.48</t>
  </si>
  <si>
    <t>13.77</t>
  </si>
  <si>
    <t>45.85</t>
  </si>
  <si>
    <t>45.6</t>
  </si>
  <si>
    <t>1:46.40</t>
  </si>
  <si>
    <t>17.21</t>
  </si>
  <si>
    <t>17.32</t>
  </si>
  <si>
    <t>53.19</t>
  </si>
  <si>
    <t>1.46</t>
  </si>
  <si>
    <t>4.93</t>
  </si>
  <si>
    <t>8.58</t>
  </si>
  <si>
    <t>9.18</t>
  </si>
  <si>
    <t>25.97</t>
  </si>
  <si>
    <t>31.28</t>
  </si>
  <si>
    <t>55.5</t>
  </si>
  <si>
    <t>8.49</t>
  </si>
  <si>
    <t>13.79</t>
  </si>
  <si>
    <t>45.90</t>
  </si>
  <si>
    <t>1:46.50</t>
  </si>
  <si>
    <t>17.33</t>
  </si>
  <si>
    <t>53.24</t>
  </si>
  <si>
    <t>53.0</t>
  </si>
  <si>
    <t>4.92</t>
  </si>
  <si>
    <t>8.55</t>
  </si>
  <si>
    <t>9.14</t>
  </si>
  <si>
    <t>25.80</t>
  </si>
  <si>
    <t>31.14</t>
  </si>
  <si>
    <t>8.50</t>
  </si>
  <si>
    <t>13.80</t>
  </si>
  <si>
    <t>45.95</t>
  </si>
  <si>
    <t>45.7</t>
  </si>
  <si>
    <t>1:46.60</t>
  </si>
  <si>
    <t>17.34</t>
  </si>
  <si>
    <t>53.29</t>
  </si>
  <si>
    <t>4.91</t>
  </si>
  <si>
    <t>8.52</t>
  </si>
  <si>
    <t>9.11</t>
  </si>
  <si>
    <t>25.65</t>
  </si>
  <si>
    <t>31.00</t>
  </si>
  <si>
    <t>55.0</t>
  </si>
  <si>
    <t>8.51</t>
  </si>
  <si>
    <t>46.00</t>
  </si>
  <si>
    <t>1:46.70</t>
  </si>
  <si>
    <t>17.35</t>
  </si>
  <si>
    <t>17.1</t>
  </si>
  <si>
    <t>53.34</t>
  </si>
  <si>
    <t>53.1</t>
  </si>
  <si>
    <t>9.07</t>
  </si>
  <si>
    <t>25.50</t>
  </si>
  <si>
    <t>30.86</t>
  </si>
  <si>
    <t>13.84</t>
  </si>
  <si>
    <t>13.6</t>
  </si>
  <si>
    <t>46.05</t>
  </si>
  <si>
    <t>45.8</t>
  </si>
  <si>
    <t>1:46.80</t>
  </si>
  <si>
    <t>17.36</t>
  </si>
  <si>
    <t>53.39</t>
  </si>
  <si>
    <t>1.45</t>
  </si>
  <si>
    <t>4.90</t>
  </si>
  <si>
    <t>25.35</t>
  </si>
  <si>
    <t>30.72</t>
  </si>
  <si>
    <t>54.5</t>
  </si>
  <si>
    <t>8.53</t>
  </si>
  <si>
    <t>13.86</t>
  </si>
  <si>
    <t>46.10</t>
  </si>
  <si>
    <t>45.9</t>
  </si>
  <si>
    <t>1:46.90</t>
  </si>
  <si>
    <t>17.37</t>
  </si>
  <si>
    <t>53.44</t>
  </si>
  <si>
    <t>53.2</t>
  </si>
  <si>
    <t>4.89</t>
  </si>
  <si>
    <t>9.00</t>
  </si>
  <si>
    <t>25.20</t>
  </si>
  <si>
    <t>30.58</t>
  </si>
  <si>
    <t>8.54</t>
  </si>
  <si>
    <t>8.3</t>
  </si>
  <si>
    <t>13.87</t>
  </si>
  <si>
    <t>46.17</t>
  </si>
  <si>
    <t>1:47.00</t>
  </si>
  <si>
    <t>17.38</t>
  </si>
  <si>
    <t>53.49</t>
  </si>
  <si>
    <t>4.88</t>
  </si>
  <si>
    <t>25.05</t>
  </si>
  <si>
    <t>30.44</t>
  </si>
  <si>
    <t>54.0</t>
  </si>
  <si>
    <t>8.56</t>
  </si>
  <si>
    <t>46.24</t>
  </si>
  <si>
    <t>46.0</t>
  </si>
  <si>
    <t>1:47.10</t>
  </si>
  <si>
    <t>17.39</t>
  </si>
  <si>
    <t>53.54</t>
  </si>
  <si>
    <t>53.3</t>
  </si>
  <si>
    <t>8.37</t>
  </si>
  <si>
    <t>8.94</t>
  </si>
  <si>
    <t>24.90</t>
  </si>
  <si>
    <t>30.30</t>
  </si>
  <si>
    <t>8.57</t>
  </si>
  <si>
    <t>13.91</t>
  </si>
  <si>
    <t>46.31</t>
  </si>
  <si>
    <t>46.1</t>
  </si>
  <si>
    <t>1:47.20</t>
  </si>
  <si>
    <t>17.40</t>
  </si>
  <si>
    <t>53.60</t>
  </si>
  <si>
    <t>53.4</t>
  </si>
  <si>
    <t>4.87</t>
  </si>
  <si>
    <t>8.90</t>
  </si>
  <si>
    <t>24.75</t>
  </si>
  <si>
    <t>30.16</t>
  </si>
  <si>
    <t>53.5</t>
  </si>
  <si>
    <t>13.93</t>
  </si>
  <si>
    <t>46.38</t>
  </si>
  <si>
    <t>1:47.30</t>
  </si>
  <si>
    <t>17.41</t>
  </si>
  <si>
    <t>53.66</t>
  </si>
  <si>
    <t>1.44</t>
  </si>
  <si>
    <t>4.86</t>
  </si>
  <si>
    <t>8.31</t>
  </si>
  <si>
    <t>8.87</t>
  </si>
  <si>
    <t>24.60</t>
  </si>
  <si>
    <t>30.02</t>
  </si>
  <si>
    <t>8.60</t>
  </si>
  <si>
    <t>13.95</t>
  </si>
  <si>
    <t>13.7</t>
  </si>
  <si>
    <t>46.45</t>
  </si>
  <si>
    <t>46.2</t>
  </si>
  <si>
    <t>1:47.40</t>
  </si>
  <si>
    <t>17.42</t>
  </si>
  <si>
    <t>53.72</t>
  </si>
  <si>
    <t>4.85</t>
  </si>
  <si>
    <t>8.28</t>
  </si>
  <si>
    <t>8.83</t>
  </si>
  <si>
    <t>24.45</t>
  </si>
  <si>
    <t>29.88</t>
  </si>
  <si>
    <t>13.97</t>
  </si>
  <si>
    <t>46.52</t>
  </si>
  <si>
    <t>46.3</t>
  </si>
  <si>
    <t>1:47.50</t>
  </si>
  <si>
    <t>17.43</t>
  </si>
  <si>
    <t>53.78</t>
  </si>
  <si>
    <t>8.80</t>
  </si>
  <si>
    <t>24.30</t>
  </si>
  <si>
    <t>29.74</t>
  </si>
  <si>
    <t>8.62</t>
  </si>
  <si>
    <t>13.99</t>
  </si>
  <si>
    <t>46.59</t>
  </si>
  <si>
    <t>46.4</t>
  </si>
  <si>
    <t>1:47.60</t>
  </si>
  <si>
    <t>17.44</t>
  </si>
  <si>
    <t>53.84</t>
  </si>
  <si>
    <t>53.6</t>
  </si>
  <si>
    <t>4.84</t>
  </si>
  <si>
    <t>8.76</t>
  </si>
  <si>
    <t>24.15</t>
  </si>
  <si>
    <t>29.60</t>
  </si>
  <si>
    <t>8.64</t>
  </si>
  <si>
    <t>14.01</t>
  </si>
  <si>
    <t>1:47.70</t>
  </si>
  <si>
    <t>17.45</t>
  </si>
  <si>
    <t>17.2</t>
  </si>
  <si>
    <t>53.90</t>
  </si>
  <si>
    <t>53.7</t>
  </si>
  <si>
    <t>1.43</t>
  </si>
  <si>
    <t>4.83</t>
  </si>
  <si>
    <t>24.00</t>
  </si>
  <si>
    <t>29.45</t>
  </si>
  <si>
    <t>8.4</t>
  </si>
  <si>
    <t>46.73</t>
  </si>
  <si>
    <t>46.5</t>
  </si>
  <si>
    <t>1:47.80</t>
  </si>
  <si>
    <t>17.46</t>
  </si>
  <si>
    <t>53.98</t>
  </si>
  <si>
    <t>4.82</t>
  </si>
  <si>
    <t>23.85</t>
  </si>
  <si>
    <t>29.30</t>
  </si>
  <si>
    <t>8.67</t>
  </si>
  <si>
    <t>14.05</t>
  </si>
  <si>
    <t>13.8</t>
  </si>
  <si>
    <t>46.80</t>
  </si>
  <si>
    <t>46.6</t>
  </si>
  <si>
    <t>1:47.90</t>
  </si>
  <si>
    <t>17.47</t>
  </si>
  <si>
    <t>54.06</t>
  </si>
  <si>
    <t>53.8</t>
  </si>
  <si>
    <t>4.81</t>
  </si>
  <si>
    <t>8.66</t>
  </si>
  <si>
    <t>23.70</t>
  </si>
  <si>
    <t>8.68</t>
  </si>
  <si>
    <t>14.07</t>
  </si>
  <si>
    <t>46.90</t>
  </si>
  <si>
    <t>46.7</t>
  </si>
  <si>
    <t>1:47.99</t>
  </si>
  <si>
    <t>17.48</t>
  </si>
  <si>
    <t>54.14</t>
  </si>
  <si>
    <t>53.9</t>
  </si>
  <si>
    <t>1.42</t>
  </si>
  <si>
    <t>4.80</t>
  </si>
  <si>
    <t>8.10</t>
  </si>
  <si>
    <t>23.56</t>
  </si>
  <si>
    <t>29.00</t>
  </si>
  <si>
    <t>8.70</t>
  </si>
  <si>
    <t>14.09</t>
  </si>
  <si>
    <t>47.01</t>
  </si>
  <si>
    <t>46.8</t>
  </si>
  <si>
    <t>1:48.08</t>
  </si>
  <si>
    <t>17.50</t>
  </si>
  <si>
    <t>54.24</t>
  </si>
  <si>
    <t>4.79</t>
  </si>
  <si>
    <t>8.59</t>
  </si>
  <si>
    <t>23.42</t>
  </si>
  <si>
    <t>28.85</t>
  </si>
  <si>
    <t>8.71</t>
  </si>
  <si>
    <t>14.12</t>
  </si>
  <si>
    <t>47.15</t>
  </si>
  <si>
    <t>1:48.20</t>
  </si>
  <si>
    <t>17.52</t>
  </si>
  <si>
    <t>54.34</t>
  </si>
  <si>
    <t>54.1</t>
  </si>
  <si>
    <t>4.78</t>
  </si>
  <si>
    <t>23.28</t>
  </si>
  <si>
    <t>28.70</t>
  </si>
  <si>
    <t>8.72</t>
  </si>
  <si>
    <t>14.15</t>
  </si>
  <si>
    <t>13.9</t>
  </si>
  <si>
    <t>47.30</t>
  </si>
  <si>
    <t>1:48.40</t>
  </si>
  <si>
    <t>17.54</t>
  </si>
  <si>
    <t>17.3</t>
  </si>
  <si>
    <t>54.44</t>
  </si>
  <si>
    <t>54.2</t>
  </si>
  <si>
    <t>1.41</t>
  </si>
  <si>
    <t>4.77</t>
  </si>
  <si>
    <t>8.01</t>
  </si>
  <si>
    <t>23.14</t>
  </si>
  <si>
    <t>28.55</t>
  </si>
  <si>
    <t>8.74</t>
  </si>
  <si>
    <t>8.5</t>
  </si>
  <si>
    <t>14.18</t>
  </si>
  <si>
    <t>47.50</t>
  </si>
  <si>
    <t>1:48.60</t>
  </si>
  <si>
    <t>17.56</t>
  </si>
  <si>
    <t>17.57</t>
  </si>
  <si>
    <t>54.56</t>
  </si>
  <si>
    <t>54.4</t>
  </si>
  <si>
    <t>4.76</t>
  </si>
  <si>
    <t>23.00</t>
  </si>
  <si>
    <t>14.21</t>
  </si>
  <si>
    <t>1:48.90</t>
  </si>
  <si>
    <t>17.59</t>
  </si>
  <si>
    <t>17.61</t>
  </si>
  <si>
    <t>54.68</t>
  </si>
  <si>
    <t>4.75</t>
  </si>
  <si>
    <t>22.88</t>
  </si>
  <si>
    <t>28.28</t>
  </si>
  <si>
    <t>8.78</t>
  </si>
  <si>
    <t>14.24</t>
  </si>
  <si>
    <t>47.85</t>
  </si>
  <si>
    <t>1:49.20</t>
  </si>
  <si>
    <t>17.62</t>
  </si>
  <si>
    <t>17.65</t>
  </si>
  <si>
    <t>17.4</t>
  </si>
  <si>
    <t>54.80</t>
  </si>
  <si>
    <t>54.6</t>
  </si>
  <si>
    <t>1.40</t>
  </si>
  <si>
    <t>4.74</t>
  </si>
  <si>
    <t>22.76</t>
  </si>
  <si>
    <t>28.16</t>
  </si>
  <si>
    <t>14.27</t>
  </si>
  <si>
    <t>48.05</t>
  </si>
  <si>
    <t>1:49.50</t>
  </si>
  <si>
    <t>17.69</t>
  </si>
  <si>
    <t>54.92</t>
  </si>
  <si>
    <t>54.7</t>
  </si>
  <si>
    <t>4.73</t>
  </si>
  <si>
    <t>7.89</t>
  </si>
  <si>
    <t>22.66</t>
  </si>
  <si>
    <t>8.82</t>
  </si>
  <si>
    <t>48.25</t>
  </si>
  <si>
    <t>1:49.80</t>
  </si>
  <si>
    <t>17.68</t>
  </si>
  <si>
    <t>17.73</t>
  </si>
  <si>
    <t>17.5</t>
  </si>
  <si>
    <t>55.04</t>
  </si>
  <si>
    <t>54.8</t>
  </si>
  <si>
    <t>4.72</t>
  </si>
  <si>
    <t>7.87</t>
  </si>
  <si>
    <t>22.56</t>
  </si>
  <si>
    <t>27.92</t>
  </si>
  <si>
    <t>8.6</t>
  </si>
  <si>
    <t>48.45</t>
  </si>
  <si>
    <t>1:50.15</t>
  </si>
  <si>
    <t>17.71</t>
  </si>
  <si>
    <t>17.77</t>
  </si>
  <si>
    <t>55.18</t>
  </si>
  <si>
    <t>1.39</t>
  </si>
  <si>
    <t>4.71</t>
  </si>
  <si>
    <t>7.85</t>
  </si>
  <si>
    <t>22.46</t>
  </si>
  <si>
    <t>27.80</t>
  </si>
  <si>
    <t>14.39</t>
  </si>
  <si>
    <t>48.65</t>
  </si>
  <si>
    <t>1:50.50</t>
  </si>
  <si>
    <t>17.75</t>
  </si>
  <si>
    <t>17.81</t>
  </si>
  <si>
    <t>55.32</t>
  </si>
  <si>
    <t>55.1</t>
  </si>
  <si>
    <t>4.70</t>
  </si>
  <si>
    <t>7.83</t>
  </si>
  <si>
    <t>22.38</t>
  </si>
  <si>
    <t>8.89</t>
  </si>
  <si>
    <t>14.44</t>
  </si>
  <si>
    <t>48.85</t>
  </si>
  <si>
    <t>1:50.90</t>
  </si>
  <si>
    <t>17.79</t>
  </si>
  <si>
    <t>17.85</t>
  </si>
  <si>
    <t>17.6</t>
  </si>
  <si>
    <t>55.46</t>
  </si>
  <si>
    <t>55.3</t>
  </si>
  <si>
    <t>4.69</t>
  </si>
  <si>
    <t>7.81</t>
  </si>
  <si>
    <t>22.30</t>
  </si>
  <si>
    <t>27.56</t>
  </si>
  <si>
    <t>8.92</t>
  </si>
  <si>
    <t>14.48</t>
  </si>
  <si>
    <t>49.05</t>
  </si>
  <si>
    <t>1:51.30</t>
  </si>
  <si>
    <t>17.83</t>
  </si>
  <si>
    <t>17.89</t>
  </si>
  <si>
    <t>55.60</t>
  </si>
  <si>
    <t>55.4</t>
  </si>
  <si>
    <t>1.38</t>
  </si>
  <si>
    <t>4.68</t>
  </si>
  <si>
    <t>22.22</t>
  </si>
  <si>
    <t>27.44</t>
  </si>
  <si>
    <t>8.7</t>
  </si>
  <si>
    <t>14.53</t>
  </si>
  <si>
    <t>1:51.75</t>
  </si>
  <si>
    <t>17.87</t>
  </si>
  <si>
    <t>17.93</t>
  </si>
  <si>
    <t>17.7</t>
  </si>
  <si>
    <t>55.75</t>
  </si>
  <si>
    <t>4.67</t>
  </si>
  <si>
    <t>22.14</t>
  </si>
  <si>
    <t>27.32</t>
  </si>
  <si>
    <t>14.57</t>
  </si>
  <si>
    <t>49.45</t>
  </si>
  <si>
    <t>1:52.20</t>
  </si>
  <si>
    <t>17.91</t>
  </si>
  <si>
    <t>17.97</t>
  </si>
  <si>
    <t>55.90</t>
  </si>
  <si>
    <t>55.7</t>
  </si>
  <si>
    <t>4.66</t>
  </si>
  <si>
    <t>7.75</t>
  </si>
  <si>
    <t>22.05</t>
  </si>
  <si>
    <t>27.19</t>
  </si>
  <si>
    <t>14.62</t>
  </si>
  <si>
    <t>49.65</t>
  </si>
  <si>
    <t>1:52.70</t>
  </si>
  <si>
    <t>18.01</t>
  </si>
  <si>
    <t>56.06</t>
  </si>
  <si>
    <t>55.9</t>
  </si>
  <si>
    <t>1.37</t>
  </si>
  <si>
    <t>4.64</t>
  </si>
  <si>
    <t>21.95</t>
  </si>
  <si>
    <t>27.05</t>
  </si>
  <si>
    <t>9.03</t>
  </si>
  <si>
    <t>14.66</t>
  </si>
  <si>
    <t>49.85</t>
  </si>
  <si>
    <t>1:53.20</t>
  </si>
  <si>
    <t>18.03</t>
  </si>
  <si>
    <t>17.8</t>
  </si>
  <si>
    <t>18.06</t>
  </si>
  <si>
    <t>56.22</t>
  </si>
  <si>
    <t>4.63</t>
  </si>
  <si>
    <t>21.85</t>
  </si>
  <si>
    <t>26.91</t>
  </si>
  <si>
    <t>9.05</t>
  </si>
  <si>
    <t>8.8</t>
  </si>
  <si>
    <t>50.05</t>
  </si>
  <si>
    <t>1:53.75</t>
  </si>
  <si>
    <t>18.09</t>
  </si>
  <si>
    <t>18.11</t>
  </si>
  <si>
    <t>17.9</t>
  </si>
  <si>
    <t>56.38</t>
  </si>
  <si>
    <t>56.2</t>
  </si>
  <si>
    <t>1.36</t>
  </si>
  <si>
    <t>4.62</t>
  </si>
  <si>
    <t>21.75</t>
  </si>
  <si>
    <t>26.77</t>
  </si>
  <si>
    <t>50.25</t>
  </si>
  <si>
    <t>1:54.35</t>
  </si>
  <si>
    <t>18.15</t>
  </si>
  <si>
    <t>18.16</t>
  </si>
  <si>
    <t>56.54</t>
  </si>
  <si>
    <t>56.3</t>
  </si>
  <si>
    <t>4.61</t>
  </si>
  <si>
    <t>7.65</t>
  </si>
  <si>
    <t>21.65</t>
  </si>
  <si>
    <t>26.63</t>
  </si>
  <si>
    <t>14.79</t>
  </si>
  <si>
    <t>1:54.95</t>
  </si>
  <si>
    <t>18.21</t>
  </si>
  <si>
    <t>18.0</t>
  </si>
  <si>
    <t>56.70</t>
  </si>
  <si>
    <t>1.35</t>
  </si>
  <si>
    <t>4.59</t>
  </si>
  <si>
    <t>21.55</t>
  </si>
  <si>
    <t>26.49</t>
  </si>
  <si>
    <t>9.12</t>
  </si>
  <si>
    <t>50.65</t>
  </si>
  <si>
    <t>1:55.55</t>
  </si>
  <si>
    <t>18.27</t>
  </si>
  <si>
    <t>18.28</t>
  </si>
  <si>
    <t>56.86</t>
  </si>
  <si>
    <t>56.7</t>
  </si>
  <si>
    <t>4.58</t>
  </si>
  <si>
    <t>21.45</t>
  </si>
  <si>
    <t>26.35</t>
  </si>
  <si>
    <t>8.9</t>
  </si>
  <si>
    <t>50.85</t>
  </si>
  <si>
    <t>1:56.15</t>
  </si>
  <si>
    <t>18.35</t>
  </si>
  <si>
    <t>18.1</t>
  </si>
  <si>
    <t>57.02</t>
  </si>
  <si>
    <t>56.8</t>
  </si>
  <si>
    <t>4.56</t>
  </si>
  <si>
    <t>21.35</t>
  </si>
  <si>
    <t>26.21</t>
  </si>
  <si>
    <t>9.17</t>
  </si>
  <si>
    <t>14.93</t>
  </si>
  <si>
    <t>51.05</t>
  </si>
  <si>
    <t>1:56.75</t>
  </si>
  <si>
    <t>18.43</t>
  </si>
  <si>
    <t>18.2</t>
  </si>
  <si>
    <t>18.42</t>
  </si>
  <si>
    <t>57.18</t>
  </si>
  <si>
    <t>1.34</t>
  </si>
  <si>
    <t>4.55</t>
  </si>
  <si>
    <t>7.53</t>
  </si>
  <si>
    <t>21.25</t>
  </si>
  <si>
    <t>26.07</t>
  </si>
  <si>
    <t>14.97</t>
  </si>
  <si>
    <t>51.25</t>
  </si>
  <si>
    <t>1:57.30</t>
  </si>
  <si>
    <t>18.51</t>
  </si>
  <si>
    <t>18.3</t>
  </si>
  <si>
    <t>18.49</t>
  </si>
  <si>
    <t>57.34</t>
  </si>
  <si>
    <t>57.1</t>
  </si>
  <si>
    <t>4.53</t>
  </si>
  <si>
    <t>21.15</t>
  </si>
  <si>
    <t>25.93</t>
  </si>
  <si>
    <t>9.22</t>
  </si>
  <si>
    <t>15.02</t>
  </si>
  <si>
    <t>1:57.85</t>
  </si>
  <si>
    <t>18.59</t>
  </si>
  <si>
    <t>18.4</t>
  </si>
  <si>
    <t>18.56</t>
  </si>
  <si>
    <t>57.50</t>
  </si>
  <si>
    <t>57.3</t>
  </si>
  <si>
    <t>1.33</t>
  </si>
  <si>
    <t>4.51</t>
  </si>
  <si>
    <t>21.05</t>
  </si>
  <si>
    <t>25.79</t>
  </si>
  <si>
    <t>9.0</t>
  </si>
  <si>
    <t>15.06</t>
  </si>
  <si>
    <t>51.65</t>
  </si>
  <si>
    <t>1:58.35</t>
  </si>
  <si>
    <t>18.67</t>
  </si>
  <si>
    <t>18.63</t>
  </si>
  <si>
    <t>57.66</t>
  </si>
  <si>
    <t>4.49</t>
  </si>
  <si>
    <t>20.95</t>
  </si>
  <si>
    <t>9.27</t>
  </si>
  <si>
    <t>15.10</t>
  </si>
  <si>
    <t>51.85</t>
  </si>
  <si>
    <t>1:58.85</t>
  </si>
  <si>
    <t>18.75</t>
  </si>
  <si>
    <t>18.5</t>
  </si>
  <si>
    <t>18.72</t>
  </si>
  <si>
    <t>57.84</t>
  </si>
  <si>
    <t>57.6</t>
  </si>
  <si>
    <t>1.32</t>
  </si>
  <si>
    <t>4.47</t>
  </si>
  <si>
    <t>7.41</t>
  </si>
  <si>
    <t>20.84</t>
  </si>
  <si>
    <t>25.51</t>
  </si>
  <si>
    <t>15.15</t>
  </si>
  <si>
    <t>52.05</t>
  </si>
  <si>
    <t>1:59.35</t>
  </si>
  <si>
    <t>18.83</t>
  </si>
  <si>
    <t>18.6</t>
  </si>
  <si>
    <t>18.81</t>
  </si>
  <si>
    <t>58.02</t>
  </si>
  <si>
    <t>57.8</t>
  </si>
  <si>
    <t>4.45</t>
  </si>
  <si>
    <t>20.73</t>
  </si>
  <si>
    <t>25.37</t>
  </si>
  <si>
    <t>9.32</t>
  </si>
  <si>
    <t>15.19</t>
  </si>
  <si>
    <t>52.25</t>
  </si>
  <si>
    <t>1:59.85</t>
  </si>
  <si>
    <t>18.92</t>
  </si>
  <si>
    <t>18.7</t>
  </si>
  <si>
    <t>18.90</t>
  </si>
  <si>
    <t>58.20</t>
  </si>
  <si>
    <t>1.31</t>
  </si>
  <si>
    <t>4.42</t>
  </si>
  <si>
    <t>7.35</t>
  </si>
  <si>
    <t>20.62</t>
  </si>
  <si>
    <t>25.23</t>
  </si>
  <si>
    <t>9.1</t>
  </si>
  <si>
    <t>15.23</t>
  </si>
  <si>
    <t>52.45</t>
  </si>
  <si>
    <t>2:00.35</t>
  </si>
  <si>
    <t>19.01</t>
  </si>
  <si>
    <t>18.8</t>
  </si>
  <si>
    <t>19.00</t>
  </si>
  <si>
    <t>58.38</t>
  </si>
  <si>
    <t>58.2</t>
  </si>
  <si>
    <t>4.39</t>
  </si>
  <si>
    <t>7.32</t>
  </si>
  <si>
    <t>20.51</t>
  </si>
  <si>
    <t>25.09</t>
  </si>
  <si>
    <t>9.38</t>
  </si>
  <si>
    <t>15.28</t>
  </si>
  <si>
    <t>52.65</t>
  </si>
  <si>
    <t>2:00.85</t>
  </si>
  <si>
    <t>19.10</t>
  </si>
  <si>
    <t>18.9</t>
  </si>
  <si>
    <t>58.56</t>
  </si>
  <si>
    <t>58.4</t>
  </si>
  <si>
    <t>1.30</t>
  </si>
  <si>
    <t>4.37</t>
  </si>
  <si>
    <t>7.29</t>
  </si>
  <si>
    <t>20.40</t>
  </si>
  <si>
    <t>24.95</t>
  </si>
  <si>
    <t>9.41</t>
  </si>
  <si>
    <t>15.32</t>
  </si>
  <si>
    <t>52.85</t>
  </si>
  <si>
    <t>2:01.35</t>
  </si>
  <si>
    <t>19.20</t>
  </si>
  <si>
    <t>19.0</t>
  </si>
  <si>
    <t>58.74</t>
  </si>
  <si>
    <t>4.35</t>
  </si>
  <si>
    <t>7.26</t>
  </si>
  <si>
    <t>20.29</t>
  </si>
  <si>
    <t>24.81</t>
  </si>
  <si>
    <t>9.2</t>
  </si>
  <si>
    <t>15.36</t>
  </si>
  <si>
    <t>53.05</t>
  </si>
  <si>
    <t>2:01.85</t>
  </si>
  <si>
    <t>19.30</t>
  </si>
  <si>
    <t>19.1</t>
  </si>
  <si>
    <t>58.92</t>
  </si>
  <si>
    <t>58.7</t>
  </si>
  <si>
    <t>1.29</t>
  </si>
  <si>
    <t>4.33</t>
  </si>
  <si>
    <t>7.23</t>
  </si>
  <si>
    <t>20.18</t>
  </si>
  <si>
    <t>24.67</t>
  </si>
  <si>
    <t>53.25</t>
  </si>
  <si>
    <t>2:02.35</t>
  </si>
  <si>
    <t>19.40</t>
  </si>
  <si>
    <t>19.2</t>
  </si>
  <si>
    <t>59.10</t>
  </si>
  <si>
    <t>58.9</t>
  </si>
  <si>
    <t>4.31</t>
  </si>
  <si>
    <t>7.20</t>
  </si>
  <si>
    <t>20.07</t>
  </si>
  <si>
    <t>24.53</t>
  </si>
  <si>
    <t>9.51</t>
  </si>
  <si>
    <t>15.45</t>
  </si>
  <si>
    <t>53.45</t>
  </si>
  <si>
    <t>2:02.85</t>
  </si>
  <si>
    <t>19.50</t>
  </si>
  <si>
    <t>19.3</t>
  </si>
  <si>
    <t>59.28</t>
  </si>
  <si>
    <t>59.1</t>
  </si>
  <si>
    <t>1.28</t>
  </si>
  <si>
    <t>4.29</t>
  </si>
  <si>
    <t>7.17</t>
  </si>
  <si>
    <t>19.96</t>
  </si>
  <si>
    <t>24.39</t>
  </si>
  <si>
    <t>9.53</t>
  </si>
  <si>
    <t>15.49</t>
  </si>
  <si>
    <t>53.65</t>
  </si>
  <si>
    <t>2:03.40</t>
  </si>
  <si>
    <t>19.60</t>
  </si>
  <si>
    <t>19.4</t>
  </si>
  <si>
    <t>59.46</t>
  </si>
  <si>
    <t>59.3</t>
  </si>
  <si>
    <t>4.27</t>
  </si>
  <si>
    <t>7.14</t>
  </si>
  <si>
    <t>19.85</t>
  </si>
  <si>
    <t>24.25</t>
  </si>
  <si>
    <t>9.3</t>
  </si>
  <si>
    <t>53.85</t>
  </si>
  <si>
    <t>2:03.95</t>
  </si>
  <si>
    <t>19.70</t>
  </si>
  <si>
    <t>19.5</t>
  </si>
  <si>
    <t>59.64</t>
  </si>
  <si>
    <t>59.4</t>
  </si>
  <si>
    <t>1.27</t>
  </si>
  <si>
    <t>4.25</t>
  </si>
  <si>
    <t>7.11</t>
  </si>
  <si>
    <t>19.74</t>
  </si>
  <si>
    <t>24.11</t>
  </si>
  <si>
    <t>9.57</t>
  </si>
  <si>
    <t>54.05</t>
  </si>
  <si>
    <t>2:04.50</t>
  </si>
  <si>
    <t>19.80</t>
  </si>
  <si>
    <t>19.6</t>
  </si>
  <si>
    <t>59.82</t>
  </si>
  <si>
    <t>59.6</t>
  </si>
  <si>
    <t>4.23</t>
  </si>
  <si>
    <t>7.08</t>
  </si>
  <si>
    <t>19.63</t>
  </si>
  <si>
    <t>23.97</t>
  </si>
  <si>
    <t>15.61</t>
  </si>
  <si>
    <t>54.25</t>
  </si>
  <si>
    <t>2:05.05</t>
  </si>
  <si>
    <t>19.90</t>
  </si>
  <si>
    <t>19.7</t>
  </si>
  <si>
    <t>60.00</t>
  </si>
  <si>
    <t>59.8</t>
  </si>
  <si>
    <t>1.26</t>
  </si>
  <si>
    <t>4.21</t>
  </si>
  <si>
    <t>7.05</t>
  </si>
  <si>
    <t>19.52</t>
  </si>
  <si>
    <t>23.83</t>
  </si>
  <si>
    <t>9.63</t>
  </si>
  <si>
    <t>9.4</t>
  </si>
  <si>
    <t>54.45</t>
  </si>
  <si>
    <t>2:05.60</t>
  </si>
  <si>
    <t>20.00</t>
  </si>
  <si>
    <t>19.8</t>
  </si>
  <si>
    <t>60.20</t>
  </si>
  <si>
    <t>4.19</t>
  </si>
  <si>
    <t>7.02</t>
  </si>
  <si>
    <t>19.41</t>
  </si>
  <si>
    <t>23.69</t>
  </si>
  <si>
    <t>15.69</t>
  </si>
  <si>
    <t>54.65</t>
  </si>
  <si>
    <t>2:06.15</t>
  </si>
  <si>
    <t>20.10</t>
  </si>
  <si>
    <t>19.9</t>
  </si>
  <si>
    <t>60.40</t>
  </si>
  <si>
    <t>60.2</t>
  </si>
  <si>
    <t>1.25</t>
  </si>
  <si>
    <t>4.17</t>
  </si>
  <si>
    <t>6.99</t>
  </si>
  <si>
    <t>23.55</t>
  </si>
  <si>
    <t>15.73</t>
  </si>
  <si>
    <t>54.85</t>
  </si>
  <si>
    <t>2:06.70</t>
  </si>
  <si>
    <t>20.20</t>
  </si>
  <si>
    <t>20.0</t>
  </si>
  <si>
    <t>20.1</t>
  </si>
  <si>
    <t>60.60</t>
  </si>
  <si>
    <t>60.4</t>
  </si>
  <si>
    <t>4.15</t>
  </si>
  <si>
    <t>6.96</t>
  </si>
  <si>
    <t>19.19</t>
  </si>
  <si>
    <t>23.39</t>
  </si>
  <si>
    <t>15.77</t>
  </si>
  <si>
    <t>55.05</t>
  </si>
  <si>
    <t>2:07.25</t>
  </si>
  <si>
    <t>20.30</t>
  </si>
  <si>
    <t>60.80</t>
  </si>
  <si>
    <t>60.6</t>
  </si>
  <si>
    <t>1.24</t>
  </si>
  <si>
    <t>4.13</t>
  </si>
  <si>
    <t>6.93</t>
  </si>
  <si>
    <t>19.08</t>
  </si>
  <si>
    <t>23.23</t>
  </si>
  <si>
    <t>9.74</t>
  </si>
  <si>
    <t>9.5</t>
  </si>
  <si>
    <t>15.81</t>
  </si>
  <si>
    <t>55.25</t>
  </si>
  <si>
    <t>2:07.80</t>
  </si>
  <si>
    <t>20.2</t>
  </si>
  <si>
    <t>61.00</t>
  </si>
  <si>
    <t>60.8</t>
  </si>
  <si>
    <t>4.11</t>
  </si>
  <si>
    <t>6.90</t>
  </si>
  <si>
    <t>18.97</t>
  </si>
  <si>
    <t>23.07</t>
  </si>
  <si>
    <t>9.77</t>
  </si>
  <si>
    <t>55.45</t>
  </si>
  <si>
    <t>55.2</t>
  </si>
  <si>
    <t>2:08.35</t>
  </si>
  <si>
    <t>20.50</t>
  </si>
  <si>
    <t>20.3</t>
  </si>
  <si>
    <t>61.20</t>
  </si>
  <si>
    <t>1.23</t>
  </si>
  <si>
    <t>4.09</t>
  </si>
  <si>
    <t>6.87</t>
  </si>
  <si>
    <t>18.86</t>
  </si>
  <si>
    <t>22.91</t>
  </si>
  <si>
    <t>55.65</t>
  </si>
  <si>
    <t>2:08.90</t>
  </si>
  <si>
    <t>20.60</t>
  </si>
  <si>
    <t>20.4</t>
  </si>
  <si>
    <t>61.40</t>
  </si>
  <si>
    <t>61.2</t>
  </si>
  <si>
    <t>4.07</t>
  </si>
  <si>
    <t>6.84</t>
  </si>
  <si>
    <t>22.75</t>
  </si>
  <si>
    <t>9.83</t>
  </si>
  <si>
    <t>9.6</t>
  </si>
  <si>
    <t>15.95</t>
  </si>
  <si>
    <t>55.85</t>
  </si>
  <si>
    <t>55.6</t>
  </si>
  <si>
    <t>2:09.45</t>
  </si>
  <si>
    <t>20.70</t>
  </si>
  <si>
    <t>20.5</t>
  </si>
  <si>
    <t>61.60</t>
  </si>
  <si>
    <t>61.4</t>
  </si>
  <si>
    <t>1.22</t>
  </si>
  <si>
    <t>4.05</t>
  </si>
  <si>
    <t>6.81</t>
  </si>
  <si>
    <t>22.59</t>
  </si>
  <si>
    <t>9.86</t>
  </si>
  <si>
    <t>16.00</t>
  </si>
  <si>
    <t>56.10</t>
  </si>
  <si>
    <t>2:10.00</t>
  </si>
  <si>
    <t>20.80</t>
  </si>
  <si>
    <t>20.6</t>
  </si>
  <si>
    <t>61.80</t>
  </si>
  <si>
    <t>61.6</t>
  </si>
  <si>
    <t>4.03</t>
  </si>
  <si>
    <t>6.78</t>
  </si>
  <si>
    <t>22.43</t>
  </si>
  <si>
    <t>9.89</t>
  </si>
  <si>
    <t>16.05</t>
  </si>
  <si>
    <t>56.35</t>
  </si>
  <si>
    <t>56.1</t>
  </si>
  <si>
    <t>2:10.55</t>
  </si>
  <si>
    <t>20.90</t>
  </si>
  <si>
    <t>20.7</t>
  </si>
  <si>
    <t>62.00</t>
  </si>
  <si>
    <t>61.8</t>
  </si>
  <si>
    <t>1.21</t>
  </si>
  <si>
    <t>4.01</t>
  </si>
  <si>
    <t>6.75</t>
  </si>
  <si>
    <t>7.16</t>
  </si>
  <si>
    <t>18.39</t>
  </si>
  <si>
    <t>22.27</t>
  </si>
  <si>
    <t>16.10</t>
  </si>
  <si>
    <t>56.60</t>
  </si>
  <si>
    <t>56.4</t>
  </si>
  <si>
    <t>2:11.10</t>
  </si>
  <si>
    <t>21.00</t>
  </si>
  <si>
    <t>20.8</t>
  </si>
  <si>
    <t>62.20</t>
  </si>
  <si>
    <t>3.99</t>
  </si>
  <si>
    <t>6.72</t>
  </si>
  <si>
    <t>7.13</t>
  </si>
  <si>
    <t>22.10</t>
  </si>
  <si>
    <t>9.7</t>
  </si>
  <si>
    <t>56.85</t>
  </si>
  <si>
    <t>56.6</t>
  </si>
  <si>
    <t>2:11.65</t>
  </si>
  <si>
    <t>21.10</t>
  </si>
  <si>
    <t>20.9</t>
  </si>
  <si>
    <t>62.40</t>
  </si>
  <si>
    <t>62.2</t>
  </si>
  <si>
    <t>1.20</t>
  </si>
  <si>
    <t>3.97</t>
  </si>
  <si>
    <t>6.69</t>
  </si>
  <si>
    <t>7.09</t>
  </si>
  <si>
    <t>21.94</t>
  </si>
  <si>
    <t>9.98</t>
  </si>
  <si>
    <t>16.20</t>
  </si>
  <si>
    <t>57.10</t>
  </si>
  <si>
    <t>56.9</t>
  </si>
  <si>
    <t>2:12.20</t>
  </si>
  <si>
    <t>21.20</t>
  </si>
  <si>
    <t>21.0</t>
  </si>
  <si>
    <t>62.60</t>
  </si>
  <si>
    <t>62.4</t>
  </si>
  <si>
    <t>3.94</t>
  </si>
  <si>
    <t>6.66</t>
  </si>
  <si>
    <t>7.06</t>
  </si>
  <si>
    <t>21.78</t>
  </si>
  <si>
    <t>10.01</t>
  </si>
  <si>
    <t>57.35</t>
  </si>
  <si>
    <t>2:12.75</t>
  </si>
  <si>
    <t>21.30</t>
  </si>
  <si>
    <t>21.1</t>
  </si>
  <si>
    <t>62.80</t>
  </si>
  <si>
    <t>62.6</t>
  </si>
  <si>
    <t>1.19</t>
  </si>
  <si>
    <t>3.91</t>
  </si>
  <si>
    <t>6.63</t>
  </si>
  <si>
    <t>21.62</t>
  </si>
  <si>
    <t>9.8</t>
  </si>
  <si>
    <t>16.30</t>
  </si>
  <si>
    <t>57.60</t>
  </si>
  <si>
    <t>57.4</t>
  </si>
  <si>
    <t>2:13.30</t>
  </si>
  <si>
    <t>21.40</t>
  </si>
  <si>
    <t>21.2</t>
  </si>
  <si>
    <t>63.00</t>
  </si>
  <si>
    <t>62.8</t>
  </si>
  <si>
    <t>3.88</t>
  </si>
  <si>
    <t>6.60</t>
  </si>
  <si>
    <t>21.46</t>
  </si>
  <si>
    <t>10.07</t>
  </si>
  <si>
    <t>16.35</t>
  </si>
  <si>
    <t>57.85</t>
  </si>
  <si>
    <t>2:13.85</t>
  </si>
  <si>
    <t>21.50</t>
  </si>
  <si>
    <t>21.3</t>
  </si>
  <si>
    <t>63.20</t>
  </si>
  <si>
    <t>1.18</t>
  </si>
  <si>
    <t>3.85</t>
  </si>
  <si>
    <t>6.56</t>
  </si>
  <si>
    <t>6.95</t>
  </si>
  <si>
    <t>17.67</t>
  </si>
  <si>
    <t>16.40</t>
  </si>
  <si>
    <t>58.10</t>
  </si>
  <si>
    <t>57.9</t>
  </si>
  <si>
    <t>2:14.40</t>
  </si>
  <si>
    <t>21.60</t>
  </si>
  <si>
    <t>21.4</t>
  </si>
  <si>
    <t>63.40</t>
  </si>
  <si>
    <t>63.2</t>
  </si>
  <si>
    <t>3.82</t>
  </si>
  <si>
    <t>6.52</t>
  </si>
  <si>
    <t>6.91</t>
  </si>
  <si>
    <t>17.55</t>
  </si>
  <si>
    <t>21.14</t>
  </si>
  <si>
    <t>10.13</t>
  </si>
  <si>
    <t>9.9</t>
  </si>
  <si>
    <t>58.35</t>
  </si>
  <si>
    <t>58.1</t>
  </si>
  <si>
    <t>2:14.95</t>
  </si>
  <si>
    <t>21.70</t>
  </si>
  <si>
    <t>21.5</t>
  </si>
  <si>
    <t>63.60</t>
  </si>
  <si>
    <t>63.4</t>
  </si>
  <si>
    <t>1.17</t>
  </si>
  <si>
    <t>3.79</t>
  </si>
  <si>
    <t>6.48</t>
  </si>
  <si>
    <t>20.98</t>
  </si>
  <si>
    <t>16.50</t>
  </si>
  <si>
    <t>58.60</t>
  </si>
  <si>
    <t>2:15.50</t>
  </si>
  <si>
    <t>21.80</t>
  </si>
  <si>
    <t>21.6</t>
  </si>
  <si>
    <t>63.80</t>
  </si>
  <si>
    <t>63.6</t>
  </si>
  <si>
    <t>3.76</t>
  </si>
  <si>
    <t>6.44</t>
  </si>
  <si>
    <t>6.83</t>
  </si>
  <si>
    <t>20.82</t>
  </si>
  <si>
    <t>58.85</t>
  </si>
  <si>
    <t>58.6</t>
  </si>
  <si>
    <t>2:16.05</t>
  </si>
  <si>
    <t>21.90</t>
  </si>
  <si>
    <t>21.7</t>
  </si>
  <si>
    <t>64.00</t>
  </si>
  <si>
    <t>63.8</t>
  </si>
  <si>
    <t>1.16</t>
  </si>
  <si>
    <t>3.73</t>
  </si>
  <si>
    <t>6.40</t>
  </si>
  <si>
    <t>6.79</t>
  </si>
  <si>
    <t>20.66</t>
  </si>
  <si>
    <t>10.23</t>
  </si>
  <si>
    <t>10.0</t>
  </si>
  <si>
    <t>16.60</t>
  </si>
  <si>
    <t>2:16.60</t>
  </si>
  <si>
    <t>22.00</t>
  </si>
  <si>
    <t>21.8</t>
  </si>
  <si>
    <t>64.20</t>
  </si>
  <si>
    <t>3.70</t>
  </si>
  <si>
    <t>6.36</t>
  </si>
  <si>
    <t>10.27</t>
  </si>
  <si>
    <t>59.35</t>
  </si>
  <si>
    <t>2:17.15</t>
  </si>
  <si>
    <t>21.9</t>
  </si>
  <si>
    <t>64.40</t>
  </si>
  <si>
    <t>64.2</t>
  </si>
  <si>
    <t>1.15</t>
  </si>
  <si>
    <t>3.67</t>
  </si>
  <si>
    <t>6.32</t>
  </si>
  <si>
    <t>6.71</t>
  </si>
  <si>
    <t>20.34</t>
  </si>
  <si>
    <t>10.31</t>
  </si>
  <si>
    <t>16.72</t>
  </si>
  <si>
    <t>59.60</t>
  </si>
  <si>
    <t>2:17.70</t>
  </si>
  <si>
    <t>22.20</t>
  </si>
  <si>
    <t>22.0</t>
  </si>
  <si>
    <t>64.60</t>
  </si>
  <si>
    <t>64.4</t>
  </si>
  <si>
    <t>3.64</t>
  </si>
  <si>
    <t>6.28</t>
  </si>
  <si>
    <t>6.67</t>
  </si>
  <si>
    <t>20.16</t>
  </si>
  <si>
    <t>10.34</t>
  </si>
  <si>
    <t>10.1</t>
  </si>
  <si>
    <t>59.85</t>
  </si>
  <si>
    <t>2:18.25</t>
  </si>
  <si>
    <t>22.1</t>
  </si>
  <si>
    <t>64.80</t>
  </si>
  <si>
    <t>64.6</t>
  </si>
  <si>
    <t>1.14</t>
  </si>
  <si>
    <t>3.61</t>
  </si>
  <si>
    <t>6.24</t>
  </si>
  <si>
    <t>19.98</t>
  </si>
  <si>
    <t>10.38</t>
  </si>
  <si>
    <t>60.10</t>
  </si>
  <si>
    <t>59.9</t>
  </si>
  <si>
    <t>2:18.80</t>
  </si>
  <si>
    <t>22.40</t>
  </si>
  <si>
    <t>22.2</t>
  </si>
  <si>
    <t>65.00</t>
  </si>
  <si>
    <t>64.8</t>
  </si>
  <si>
    <t>3.58</t>
  </si>
  <si>
    <t>6.20</t>
  </si>
  <si>
    <t>6.59</t>
  </si>
  <si>
    <t>27.5</t>
  </si>
  <si>
    <t>10.42</t>
  </si>
  <si>
    <t>60.35</t>
  </si>
  <si>
    <t>60.1</t>
  </si>
  <si>
    <t>2:19.35</t>
  </si>
  <si>
    <t>22.50</t>
  </si>
  <si>
    <t>22.3</t>
  </si>
  <si>
    <t>22.52</t>
  </si>
  <si>
    <t>65.20</t>
  </si>
  <si>
    <t>1.13</t>
  </si>
  <si>
    <t>3.55</t>
  </si>
  <si>
    <t>6.16</t>
  </si>
  <si>
    <t>6.55</t>
  </si>
  <si>
    <t>16.47</t>
  </si>
  <si>
    <t>19.62</t>
  </si>
  <si>
    <t>10.45</t>
  </si>
  <si>
    <t>10.2</t>
  </si>
  <si>
    <t>2:19.90</t>
  </si>
  <si>
    <t>22.62</t>
  </si>
  <si>
    <t>22.4</t>
  </si>
  <si>
    <t>22.64</t>
  </si>
  <si>
    <t>65.40</t>
  </si>
  <si>
    <t>65.2</t>
  </si>
  <si>
    <t>3.52</t>
  </si>
  <si>
    <t>6.12</t>
  </si>
  <si>
    <t>6.51</t>
  </si>
  <si>
    <t>19.44</t>
  </si>
  <si>
    <t>60.85</t>
  </si>
  <si>
    <t>2:20.45</t>
  </si>
  <si>
    <t>22.74</t>
  </si>
  <si>
    <t>22.5</t>
  </si>
  <si>
    <t>22.6</t>
  </si>
  <si>
    <t>65.60</t>
  </si>
  <si>
    <t>65.4</t>
  </si>
  <si>
    <t>1.12</t>
  </si>
  <si>
    <t>3.49</t>
  </si>
  <si>
    <t>6.08</t>
  </si>
  <si>
    <t>6.47</t>
  </si>
  <si>
    <t>19.26</t>
  </si>
  <si>
    <t>10.52</t>
  </si>
  <si>
    <t>61.10</t>
  </si>
  <si>
    <t>60.9</t>
  </si>
  <si>
    <t>2:21.00</t>
  </si>
  <si>
    <t>22.86</t>
  </si>
  <si>
    <t>22.7</t>
  </si>
  <si>
    <t>65.80</t>
  </si>
  <si>
    <t>65.6</t>
  </si>
  <si>
    <t>3.46</t>
  </si>
  <si>
    <t>6.04</t>
  </si>
  <si>
    <t>6.43</t>
  </si>
  <si>
    <t>26.0</t>
  </si>
  <si>
    <t>10.55</t>
  </si>
  <si>
    <t>10.3</t>
  </si>
  <si>
    <t>61.35</t>
  </si>
  <si>
    <t>61.1</t>
  </si>
  <si>
    <t>2:21.55</t>
  </si>
  <si>
    <t>22.98</t>
  </si>
  <si>
    <t>22.8</t>
  </si>
  <si>
    <t>66.00</t>
  </si>
  <si>
    <t>65.8</t>
  </si>
  <si>
    <t>1.11</t>
  </si>
  <si>
    <t>3.43</t>
  </si>
  <si>
    <t>6.00</t>
  </si>
  <si>
    <t>6.39</t>
  </si>
  <si>
    <t>25.5</t>
  </si>
  <si>
    <t>10.59</t>
  </si>
  <si>
    <t>2:22.10</t>
  </si>
  <si>
    <t>23.10</t>
  </si>
  <si>
    <t>22.9</t>
  </si>
  <si>
    <t>23.12</t>
  </si>
  <si>
    <t>66.20</t>
  </si>
  <si>
    <t>3.40</t>
  </si>
  <si>
    <t>5.96</t>
  </si>
  <si>
    <t>6.35</t>
  </si>
  <si>
    <t>15.75</t>
  </si>
  <si>
    <t>18.70</t>
  </si>
  <si>
    <t>25.0</t>
  </si>
  <si>
    <t>10.63</t>
  </si>
  <si>
    <t>10.4</t>
  </si>
  <si>
    <t>61.85</t>
  </si>
  <si>
    <t>2:22.65</t>
  </si>
  <si>
    <t>23.22</t>
  </si>
  <si>
    <t>23.0</t>
  </si>
  <si>
    <t>23.24</t>
  </si>
  <si>
    <t>66.40</t>
  </si>
  <si>
    <t>66.2</t>
  </si>
  <si>
    <t>1.10</t>
  </si>
  <si>
    <t>3.37</t>
  </si>
  <si>
    <t>5.92</t>
  </si>
  <si>
    <t>6.30</t>
  </si>
  <si>
    <t>15.60</t>
  </si>
  <si>
    <t>18.50</t>
  </si>
  <si>
    <t>24.5</t>
  </si>
  <si>
    <t>62.10</t>
  </si>
  <si>
    <t>61.9</t>
  </si>
  <si>
    <t>2:23.20</t>
  </si>
  <si>
    <t>23.34</t>
  </si>
  <si>
    <t>23.1</t>
  </si>
  <si>
    <t>23.36</t>
  </si>
  <si>
    <t>23.2</t>
  </si>
  <si>
    <t>66.63</t>
  </si>
  <si>
    <t>66.4</t>
  </si>
  <si>
    <t>3.34</t>
  </si>
  <si>
    <t>6.25</t>
  </si>
  <si>
    <t>18.30</t>
  </si>
  <si>
    <t>24.0</t>
  </si>
  <si>
    <t>10.71</t>
  </si>
  <si>
    <t>2:23.75</t>
  </si>
  <si>
    <t>23.46</t>
  </si>
  <si>
    <t>23.3</t>
  </si>
  <si>
    <t>23.48</t>
  </si>
  <si>
    <t>66.86</t>
  </si>
  <si>
    <t>66.7</t>
  </si>
  <si>
    <t>1.09</t>
  </si>
  <si>
    <t>3.31</t>
  </si>
  <si>
    <t>15.30</t>
  </si>
  <si>
    <t>18.10</t>
  </si>
  <si>
    <t>23.5</t>
  </si>
  <si>
    <t>10.75</t>
  </si>
  <si>
    <t>10.5</t>
  </si>
  <si>
    <t>62.70</t>
  </si>
  <si>
    <t>2:24.30</t>
  </si>
  <si>
    <t>23.58</t>
  </si>
  <si>
    <t>23.4</t>
  </si>
  <si>
    <t>23.60</t>
  </si>
  <si>
    <t>67.13</t>
  </si>
  <si>
    <t>66.9</t>
  </si>
  <si>
    <t>3.28</t>
  </si>
  <si>
    <t>6.15</t>
  </si>
  <si>
    <t>17.90</t>
  </si>
  <si>
    <t>10.79</t>
  </si>
  <si>
    <t>17.51</t>
  </si>
  <si>
    <t>2:24.85</t>
  </si>
  <si>
    <t>23.72</t>
  </si>
  <si>
    <t>67.40</t>
  </si>
  <si>
    <t>67.2</t>
  </si>
  <si>
    <t>1.08</t>
  </si>
  <si>
    <t>3.25</t>
  </si>
  <si>
    <t>6.10</t>
  </si>
  <si>
    <t>15.00</t>
  </si>
  <si>
    <t>17.70</t>
  </si>
  <si>
    <t>10.83</t>
  </si>
  <si>
    <t>10.6</t>
  </si>
  <si>
    <t>17.58</t>
  </si>
  <si>
    <t>63.30</t>
  </si>
  <si>
    <t>63.1</t>
  </si>
  <si>
    <t>2:25.40</t>
  </si>
  <si>
    <t>23.82</t>
  </si>
  <si>
    <t>23.6</t>
  </si>
  <si>
    <t>23.84</t>
  </si>
  <si>
    <t>67.67</t>
  </si>
  <si>
    <t>1.07</t>
  </si>
  <si>
    <t>3.22</t>
  </si>
  <si>
    <t>5.72</t>
  </si>
  <si>
    <t>6.05</t>
  </si>
  <si>
    <t>10.87</t>
  </si>
  <si>
    <t>2:25.95</t>
  </si>
  <si>
    <t>23.94</t>
  </si>
  <si>
    <t>23.7</t>
  </si>
  <si>
    <t>23.96</t>
  </si>
  <si>
    <t>23.8</t>
  </si>
  <si>
    <t>67.94</t>
  </si>
  <si>
    <t>67.7</t>
  </si>
  <si>
    <t>3.19</t>
  </si>
  <si>
    <t>14.60</t>
  </si>
  <si>
    <t>17.72</t>
  </si>
  <si>
    <t>63.90</t>
  </si>
  <si>
    <t>63.7</t>
  </si>
  <si>
    <t>2:26.50</t>
  </si>
  <si>
    <t>24.06</t>
  </si>
  <si>
    <t>23.9</t>
  </si>
  <si>
    <t>24.08</t>
  </si>
  <si>
    <t>68.21</t>
  </si>
  <si>
    <t>1.06</t>
  </si>
  <si>
    <t>3.16</t>
  </si>
  <si>
    <t>5.95</t>
  </si>
  <si>
    <t>14.40</t>
  </si>
  <si>
    <t>10.95</t>
  </si>
  <si>
    <t>10.7</t>
  </si>
  <si>
    <t>2:27.10</t>
  </si>
  <si>
    <t>24.18</t>
  </si>
  <si>
    <t>24.20</t>
  </si>
  <si>
    <t>68.48</t>
  </si>
  <si>
    <t>68.3</t>
  </si>
  <si>
    <t>1.05</t>
  </si>
  <si>
    <t>3.13</t>
  </si>
  <si>
    <t>14.20</t>
  </si>
  <si>
    <t>10.99</t>
  </si>
  <si>
    <t>17.86</t>
  </si>
  <si>
    <t>64.50</t>
  </si>
  <si>
    <t>64.3</t>
  </si>
  <si>
    <t>2:27.70</t>
  </si>
  <si>
    <t>24.1</t>
  </si>
  <si>
    <t>24.32</t>
  </si>
  <si>
    <t>68.75</t>
  </si>
  <si>
    <t>3.10</t>
  </si>
  <si>
    <t>14.00</t>
  </si>
  <si>
    <t>16.70</t>
  </si>
  <si>
    <t>11.04</t>
  </si>
  <si>
    <t>10.8</t>
  </si>
  <si>
    <t>64.85</t>
  </si>
  <si>
    <t>2:28.30</t>
  </si>
  <si>
    <t>24.42</t>
  </si>
  <si>
    <t>24.2</t>
  </si>
  <si>
    <t>24.44</t>
  </si>
  <si>
    <t>69.02</t>
  </si>
  <si>
    <t>68.8</t>
  </si>
  <si>
    <t>1.04</t>
  </si>
  <si>
    <t>3.07</t>
  </si>
  <si>
    <t>5.50</t>
  </si>
  <si>
    <t>11.09</t>
  </si>
  <si>
    <t>18.00</t>
  </si>
  <si>
    <t>2:28.95</t>
  </si>
  <si>
    <t>24.54</t>
  </si>
  <si>
    <t>24.3</t>
  </si>
  <si>
    <t>24.56</t>
  </si>
  <si>
    <t>69.29</t>
  </si>
  <si>
    <t>69.1</t>
  </si>
  <si>
    <t>1.03</t>
  </si>
  <si>
    <t>3.04</t>
  </si>
  <si>
    <t>5.75</t>
  </si>
  <si>
    <t>13.60</t>
  </si>
  <si>
    <t>11.14</t>
  </si>
  <si>
    <t>10.9</t>
  </si>
  <si>
    <t>18.07</t>
  </si>
  <si>
    <t>65.55</t>
  </si>
  <si>
    <t>65.3</t>
  </si>
  <si>
    <t>2:29.65</t>
  </si>
  <si>
    <t>24.66</t>
  </si>
  <si>
    <t>24.68</t>
  </si>
  <si>
    <t>69.56</t>
  </si>
  <si>
    <t>69.4</t>
  </si>
  <si>
    <t>3.01</t>
  </si>
  <si>
    <t>5.40</t>
  </si>
  <si>
    <t>11.19</t>
  </si>
  <si>
    <t>65.90</t>
  </si>
  <si>
    <t>65.7</t>
  </si>
  <si>
    <t>2:30.35</t>
  </si>
  <si>
    <t>24.78</t>
  </si>
  <si>
    <t>24.6</t>
  </si>
  <si>
    <t>24.80</t>
  </si>
  <si>
    <t>69.83</t>
  </si>
  <si>
    <t>69.6</t>
  </si>
  <si>
    <t>1.02</t>
  </si>
  <si>
    <t>2.98</t>
  </si>
  <si>
    <t>5.35</t>
  </si>
  <si>
    <t>11.25</t>
  </si>
  <si>
    <t>11.0</t>
  </si>
  <si>
    <t>18.23</t>
  </si>
  <si>
    <t>66.25</t>
  </si>
  <si>
    <t>2:31.05</t>
  </si>
  <si>
    <t>24.7</t>
  </si>
  <si>
    <t>24.92</t>
  </si>
  <si>
    <t>70.10</t>
  </si>
  <si>
    <t>69.9</t>
  </si>
  <si>
    <t>1.01</t>
  </si>
  <si>
    <t>2.95</t>
  </si>
  <si>
    <t>15.50</t>
  </si>
  <si>
    <t>11.31</t>
  </si>
  <si>
    <t>11.1</t>
  </si>
  <si>
    <t>18.31</t>
  </si>
  <si>
    <t>66.60</t>
  </si>
  <si>
    <t>2:31.75</t>
  </si>
  <si>
    <t>25.02</t>
  </si>
  <si>
    <t>24.8</t>
  </si>
  <si>
    <t>25.04</t>
  </si>
  <si>
    <t>70.37</t>
  </si>
  <si>
    <t>70.2</t>
  </si>
  <si>
    <t>1.00</t>
  </si>
  <si>
    <t>2.92</t>
  </si>
  <si>
    <t>5.25</t>
  </si>
  <si>
    <t>15.25</t>
  </si>
  <si>
    <t>11.37</t>
  </si>
  <si>
    <t>66.95</t>
  </si>
  <si>
    <t>2:32.45</t>
  </si>
  <si>
    <t>25.14</t>
  </si>
  <si>
    <t>24.9</t>
  </si>
  <si>
    <t>25.16</t>
  </si>
  <si>
    <t>70.64</t>
  </si>
  <si>
    <t>70.4</t>
  </si>
  <si>
    <t>2.89</t>
  </si>
  <si>
    <t>5.20</t>
  </si>
  <si>
    <t>11.43</t>
  </si>
  <si>
    <t>11.2</t>
  </si>
  <si>
    <t>18.48</t>
  </si>
  <si>
    <t>67.30</t>
  </si>
  <si>
    <t>67.1</t>
  </si>
  <si>
    <t>2:33.15</t>
  </si>
  <si>
    <t>25.26</t>
  </si>
  <si>
    <t>25.1</t>
  </si>
  <si>
    <t>25.28</t>
  </si>
  <si>
    <t>70.93</t>
  </si>
  <si>
    <t>70.7</t>
  </si>
  <si>
    <t>0.99</t>
  </si>
  <si>
    <t>2.86</t>
  </si>
  <si>
    <t>12.40</t>
  </si>
  <si>
    <t>11.49</t>
  </si>
  <si>
    <t>11.3</t>
  </si>
  <si>
    <t>18.57</t>
  </si>
  <si>
    <t>67.70</t>
  </si>
  <si>
    <t>2:33.85</t>
  </si>
  <si>
    <t>25.38</t>
  </si>
  <si>
    <t>25.2</t>
  </si>
  <si>
    <t>25.40</t>
  </si>
  <si>
    <t>71.23</t>
  </si>
  <si>
    <t>0.98</t>
  </si>
  <si>
    <t>2.83</t>
  </si>
  <si>
    <t>12.20</t>
  </si>
  <si>
    <t>11.56</t>
  </si>
  <si>
    <t>18.66</t>
  </si>
  <si>
    <t>68.10</t>
  </si>
  <si>
    <t>67.9</t>
  </si>
  <si>
    <t>2:34.65</t>
  </si>
  <si>
    <t>25.3</t>
  </si>
  <si>
    <t>25.52</t>
  </si>
  <si>
    <t>71.58</t>
  </si>
  <si>
    <t>71.4</t>
  </si>
  <si>
    <t>0.97</t>
  </si>
  <si>
    <t>2.80</t>
  </si>
  <si>
    <t>12.00</t>
  </si>
  <si>
    <t>11.64</t>
  </si>
  <si>
    <t>11.4</t>
  </si>
  <si>
    <t>68.50</t>
  </si>
  <si>
    <t>2:35.45</t>
  </si>
  <si>
    <t>25.62</t>
  </si>
  <si>
    <t>25.4</t>
  </si>
  <si>
    <t>25.64</t>
  </si>
  <si>
    <t>71.93</t>
  </si>
  <si>
    <t>71.7</t>
  </si>
  <si>
    <t>0.96</t>
  </si>
  <si>
    <t>2.77</t>
  </si>
  <si>
    <t>11.80</t>
  </si>
  <si>
    <t>13.85</t>
  </si>
  <si>
    <t>11.72</t>
  </si>
  <si>
    <t>11.5</t>
  </si>
  <si>
    <t>18.85</t>
  </si>
  <si>
    <t>68.90</t>
  </si>
  <si>
    <t>68.7</t>
  </si>
  <si>
    <t>2:36.25</t>
  </si>
  <si>
    <t>25.75</t>
  </si>
  <si>
    <t>25.76</t>
  </si>
  <si>
    <t>25.6</t>
  </si>
  <si>
    <t>72.30</t>
  </si>
  <si>
    <t>72.1</t>
  </si>
  <si>
    <t>0.95</t>
  </si>
  <si>
    <t>2.74</t>
  </si>
  <si>
    <t>11.60</t>
  </si>
  <si>
    <t>11.6</t>
  </si>
  <si>
    <t>18.95</t>
  </si>
  <si>
    <t>69.30</t>
  </si>
  <si>
    <t>2:37.05</t>
  </si>
  <si>
    <t>25.90</t>
  </si>
  <si>
    <t>25.7</t>
  </si>
  <si>
    <t>72.70</t>
  </si>
  <si>
    <t>0.94</t>
  </si>
  <si>
    <t>2.71</t>
  </si>
  <si>
    <t>11.40</t>
  </si>
  <si>
    <t>13.25</t>
  </si>
  <si>
    <t>11.7</t>
  </si>
  <si>
    <t>19.05</t>
  </si>
  <si>
    <t>69.80</t>
  </si>
  <si>
    <t>2:37.85</t>
  </si>
  <si>
    <t>26.05</t>
  </si>
  <si>
    <t>25.8</t>
  </si>
  <si>
    <t>73.15</t>
  </si>
  <si>
    <t>72.9</t>
  </si>
  <si>
    <t>0.93</t>
  </si>
  <si>
    <t>2.67</t>
  </si>
  <si>
    <t>11.20</t>
  </si>
  <si>
    <t>11.96</t>
  </si>
  <si>
    <t>19.15</t>
  </si>
  <si>
    <t>70.30</t>
  </si>
  <si>
    <t>70.1</t>
  </si>
  <si>
    <t>2:38.65</t>
  </si>
  <si>
    <t>26.20</t>
  </si>
  <si>
    <t>73.60</t>
  </si>
  <si>
    <t>73.4</t>
  </si>
  <si>
    <t>0.92</t>
  </si>
  <si>
    <t>2.63</t>
  </si>
  <si>
    <t>19.25</t>
  </si>
  <si>
    <t>70.85</t>
  </si>
  <si>
    <t>70.6</t>
  </si>
  <si>
    <t>2:39.45</t>
  </si>
  <si>
    <t>26.40</t>
  </si>
  <si>
    <t>26.2</t>
  </si>
  <si>
    <t>74.05</t>
  </si>
  <si>
    <t>73.8</t>
  </si>
  <si>
    <t>0.91</t>
  </si>
  <si>
    <t>2.59</t>
  </si>
  <si>
    <t>19.35</t>
  </si>
  <si>
    <t>71.45</t>
  </si>
  <si>
    <t>71.2</t>
  </si>
  <si>
    <t>2:40.25</t>
  </si>
  <si>
    <t>26.60</t>
  </si>
  <si>
    <t>26.4</t>
  </si>
  <si>
    <t>74.50</t>
  </si>
  <si>
    <t>74.3</t>
  </si>
  <si>
    <t>0.90</t>
  </si>
  <si>
    <t>2.55</t>
  </si>
  <si>
    <t>11.85</t>
  </si>
  <si>
    <t>19.45</t>
  </si>
  <si>
    <t>72.10</t>
  </si>
  <si>
    <t>71.9</t>
  </si>
  <si>
    <t>2:41.05</t>
  </si>
  <si>
    <t>26.85</t>
  </si>
  <si>
    <t>26.6</t>
  </si>
  <si>
    <t>26.80</t>
  </si>
  <si>
    <t>74.95</t>
  </si>
  <si>
    <t>74.7</t>
  </si>
  <si>
    <t>0.88</t>
  </si>
  <si>
    <t>2.50</t>
  </si>
  <si>
    <t>19.55</t>
  </si>
  <si>
    <t>72.75</t>
  </si>
  <si>
    <t>2:41.85</t>
  </si>
  <si>
    <t>27.10</t>
  </si>
  <si>
    <t>26.9</t>
  </si>
  <si>
    <t>26.8</t>
  </si>
  <si>
    <t>75.40</t>
  </si>
  <si>
    <t>75.2</t>
  </si>
  <si>
    <t>0.87</t>
  </si>
  <si>
    <t>2.45</t>
  </si>
  <si>
    <t>4.50</t>
  </si>
  <si>
    <t>11.05</t>
  </si>
  <si>
    <t>73.45</t>
  </si>
  <si>
    <t>73.2</t>
  </si>
  <si>
    <t>2:42.65</t>
  </si>
  <si>
    <t>27.40</t>
  </si>
  <si>
    <t>27.2</t>
  </si>
  <si>
    <t>27.30</t>
  </si>
  <si>
    <t>27.1</t>
  </si>
  <si>
    <t>75.90</t>
  </si>
  <si>
    <t>75.7</t>
  </si>
  <si>
    <t>0.85</t>
  </si>
  <si>
    <t>2.40</t>
  </si>
  <si>
    <t>4.40</t>
  </si>
  <si>
    <t>4.60</t>
  </si>
  <si>
    <t>74.15</t>
  </si>
  <si>
    <t>73.9</t>
  </si>
  <si>
    <t>2:43.35</t>
  </si>
  <si>
    <t>27.70</t>
  </si>
  <si>
    <t>27.60</t>
  </si>
  <si>
    <t>27.4</t>
  </si>
  <si>
    <t>76.40</t>
  </si>
  <si>
    <t>76.2</t>
  </si>
  <si>
    <t>0.84</t>
  </si>
  <si>
    <t>2.35</t>
  </si>
  <si>
    <t>4.30</t>
  </si>
  <si>
    <t>20.05</t>
  </si>
  <si>
    <t>74.90</t>
  </si>
  <si>
    <t>2:44.35</t>
  </si>
  <si>
    <t>28.00</t>
  </si>
  <si>
    <t>27.8</t>
  </si>
  <si>
    <t>27.90</t>
  </si>
  <si>
    <t>27.7</t>
  </si>
  <si>
    <t>77.00</t>
  </si>
  <si>
    <t>76.8</t>
  </si>
  <si>
    <t>0.82</t>
  </si>
  <si>
    <t>2.25</t>
  </si>
  <si>
    <t>12.75</t>
  </si>
  <si>
    <t>20.25</t>
  </si>
  <si>
    <t>75.85</t>
  </si>
  <si>
    <t>75.6</t>
  </si>
  <si>
    <t>2:45.35</t>
  </si>
  <si>
    <t>28.35</t>
  </si>
  <si>
    <t>28.1</t>
  </si>
  <si>
    <t>77.89</t>
  </si>
  <si>
    <t>77.7</t>
  </si>
  <si>
    <t>0.80</t>
  </si>
  <si>
    <t>2.10</t>
  </si>
  <si>
    <t>4.00</t>
  </si>
  <si>
    <t>4.20</t>
  </si>
  <si>
    <t>DZIEWCZĘTA</t>
  </si>
  <si>
    <t>MIEJSCE</t>
  </si>
  <si>
    <t>60m PR</t>
  </si>
  <si>
    <t>SP_Gaszowice</t>
  </si>
  <si>
    <t>Punkty</t>
  </si>
  <si>
    <t>Województwo</t>
  </si>
  <si>
    <t>Klasyfikacja końcowa czwórboju la - dziewczęta</t>
  </si>
  <si>
    <t>CZWÓRBÓJ LEKKOATLETYCZNY DZIEWCZĘTA</t>
  </si>
  <si>
    <t>w dal</t>
  </si>
  <si>
    <t>p.pal</t>
  </si>
  <si>
    <t>60m</t>
  </si>
  <si>
    <t>PKT</t>
  </si>
  <si>
    <t>wzwyż</t>
  </si>
  <si>
    <t>NAZWISKO/IMIĘ</t>
  </si>
  <si>
    <t>pkt</t>
  </si>
  <si>
    <t>ppal</t>
  </si>
  <si>
    <t>I DZIEŃ</t>
  </si>
  <si>
    <t>RAZEM</t>
  </si>
  <si>
    <t>II DZIEŃ</t>
  </si>
  <si>
    <t>Nazwisko/imię</t>
  </si>
  <si>
    <t>Wynik</t>
  </si>
  <si>
    <t>Szkoła</t>
  </si>
  <si>
    <t>Miejsce</t>
  </si>
  <si>
    <t>Punkty(6)</t>
  </si>
  <si>
    <t>600m</t>
  </si>
  <si>
    <t>wdal</t>
  </si>
  <si>
    <t>Średni</t>
  </si>
  <si>
    <t>krótki</t>
  </si>
  <si>
    <t>77,0</t>
  </si>
  <si>
    <t>12,75</t>
  </si>
  <si>
    <t>76,5</t>
  </si>
  <si>
    <t>12,62</t>
  </si>
  <si>
    <t>12,50</t>
  </si>
  <si>
    <t>76,0</t>
  </si>
  <si>
    <t>12,40</t>
  </si>
  <si>
    <t>12,30</t>
  </si>
  <si>
    <t>75,5</t>
  </si>
  <si>
    <t>12,20</t>
  </si>
  <si>
    <t>12,12</t>
  </si>
  <si>
    <t>75,0</t>
  </si>
  <si>
    <t>12,04</t>
  </si>
  <si>
    <t>74,5</t>
  </si>
  <si>
    <t>11,96</t>
  </si>
  <si>
    <t>11,88</t>
  </si>
  <si>
    <t>74,0</t>
  </si>
  <si>
    <t>11,80</t>
  </si>
  <si>
    <t>11,72</t>
  </si>
  <si>
    <t>73,5</t>
  </si>
  <si>
    <t>11,64</t>
  </si>
  <si>
    <t>11,56</t>
  </si>
  <si>
    <t>73,0</t>
  </si>
  <si>
    <t>11,49</t>
  </si>
  <si>
    <t>72,5</t>
  </si>
  <si>
    <t>11,43</t>
  </si>
  <si>
    <t>11,37</t>
  </si>
  <si>
    <t>72,0</t>
  </si>
  <si>
    <t>11,31</t>
  </si>
  <si>
    <t>11,25</t>
  </si>
  <si>
    <t>71,5</t>
  </si>
  <si>
    <t>11,19</t>
  </si>
  <si>
    <t>71,0</t>
  </si>
  <si>
    <t>11,14</t>
  </si>
  <si>
    <t>11,09</t>
  </si>
  <si>
    <t>70,5</t>
  </si>
  <si>
    <t>11,04</t>
  </si>
  <si>
    <t>10,99</t>
  </si>
  <si>
    <t>70,0</t>
  </si>
  <si>
    <t>10,95</t>
  </si>
  <si>
    <t>69,5</t>
  </si>
  <si>
    <t>10,91</t>
  </si>
  <si>
    <t>10,87</t>
  </si>
  <si>
    <t>69,0</t>
  </si>
  <si>
    <t>10,83</t>
  </si>
  <si>
    <t>10,79</t>
  </si>
  <si>
    <t>68,5</t>
  </si>
  <si>
    <t>10,75</t>
  </si>
  <si>
    <t>68,0</t>
  </si>
  <si>
    <t>10,71</t>
  </si>
  <si>
    <t>10,67</t>
  </si>
  <si>
    <t>67,5</t>
  </si>
  <si>
    <t>10,63</t>
  </si>
  <si>
    <t>10,59</t>
  </si>
  <si>
    <t>67,0</t>
  </si>
  <si>
    <t>10,55</t>
  </si>
  <si>
    <t>10,52</t>
  </si>
  <si>
    <t>66,5</t>
  </si>
  <si>
    <t>10,48</t>
  </si>
  <si>
    <t>66,0</t>
  </si>
  <si>
    <t>10,45</t>
  </si>
  <si>
    <t>10,42</t>
  </si>
  <si>
    <t>65,5</t>
  </si>
  <si>
    <t>10,38</t>
  </si>
  <si>
    <t>10,34</t>
  </si>
  <si>
    <t>65,0</t>
  </si>
  <si>
    <t>10,31</t>
  </si>
  <si>
    <t>64,5</t>
  </si>
  <si>
    <t>10,27</t>
  </si>
  <si>
    <t>10,23</t>
  </si>
  <si>
    <t>64,0</t>
  </si>
  <si>
    <t>10,20</t>
  </si>
  <si>
    <t>10,16</t>
  </si>
  <si>
    <t>63,5</t>
  </si>
  <si>
    <t>10,13</t>
  </si>
  <si>
    <t>63,0</t>
  </si>
  <si>
    <t>10,10</t>
  </si>
  <si>
    <t>10,07</t>
  </si>
  <si>
    <t>10,04</t>
  </si>
  <si>
    <t>62,5</t>
  </si>
  <si>
    <t>10,01</t>
  </si>
  <si>
    <t>9,98</t>
  </si>
  <si>
    <t>9,95</t>
  </si>
  <si>
    <t>62,0</t>
  </si>
  <si>
    <t>9,92</t>
  </si>
  <si>
    <t>9,89</t>
  </si>
  <si>
    <t>9,86</t>
  </si>
  <si>
    <t>61,5</t>
  </si>
  <si>
    <t>9,83</t>
  </si>
  <si>
    <t>9,80</t>
  </si>
  <si>
    <t>9,77</t>
  </si>
  <si>
    <t>61,0</t>
  </si>
  <si>
    <t>9,74</t>
  </si>
  <si>
    <t>9,72</t>
  </si>
  <si>
    <t>60,5</t>
  </si>
  <si>
    <t>9,69</t>
  </si>
  <si>
    <t>9,66</t>
  </si>
  <si>
    <t>60,0</t>
  </si>
  <si>
    <t>9,63</t>
  </si>
  <si>
    <t>9,60</t>
  </si>
  <si>
    <t>59,5</t>
  </si>
  <si>
    <t>9,57</t>
  </si>
  <si>
    <t>9,55</t>
  </si>
  <si>
    <t>59,0</t>
  </si>
  <si>
    <t>9,53</t>
  </si>
  <si>
    <t>9,51</t>
  </si>
  <si>
    <t>58,5</t>
  </si>
  <si>
    <t>9,48</t>
  </si>
  <si>
    <t>9,45</t>
  </si>
  <si>
    <t>58,0</t>
  </si>
  <si>
    <t>9,41</t>
  </si>
  <si>
    <t>9,38</t>
  </si>
  <si>
    <t>57,5</t>
  </si>
  <si>
    <t>9,35</t>
  </si>
  <si>
    <t>9,32</t>
  </si>
  <si>
    <t>57,0</t>
  </si>
  <si>
    <t>9,30</t>
  </si>
  <si>
    <t>9,27</t>
  </si>
  <si>
    <t>56,5</t>
  </si>
  <si>
    <t>9,25</t>
  </si>
  <si>
    <t>9,22</t>
  </si>
  <si>
    <t>56,0</t>
  </si>
  <si>
    <t>9,20</t>
  </si>
  <si>
    <t>9,17</t>
  </si>
  <si>
    <t>55,5</t>
  </si>
  <si>
    <t>9,15</t>
  </si>
  <si>
    <t>9,12</t>
  </si>
  <si>
    <t>55,0</t>
  </si>
  <si>
    <t>9,10</t>
  </si>
  <si>
    <t>9,07</t>
  </si>
  <si>
    <t>54,5</t>
  </si>
  <si>
    <t>9,05</t>
  </si>
  <si>
    <t>9,03</t>
  </si>
  <si>
    <t>54,0</t>
  </si>
  <si>
    <t>9,00</t>
  </si>
  <si>
    <t>8,97</t>
  </si>
  <si>
    <t>53,5</t>
  </si>
  <si>
    <t>8,94</t>
  </si>
  <si>
    <t>8,92</t>
  </si>
  <si>
    <t>53,0</t>
  </si>
  <si>
    <t>8,89</t>
  </si>
  <si>
    <t>52,5</t>
  </si>
  <si>
    <t>8,86</t>
  </si>
  <si>
    <t>8,83</t>
  </si>
  <si>
    <t>52,0</t>
  </si>
  <si>
    <t>8,82</t>
  </si>
  <si>
    <t>8,80</t>
  </si>
  <si>
    <t>51,5</t>
  </si>
  <si>
    <t>8,78</t>
  </si>
  <si>
    <t>51,0</t>
  </si>
  <si>
    <t>8,76</t>
  </si>
  <si>
    <t>8,74</t>
  </si>
  <si>
    <t>50,5</t>
  </si>
  <si>
    <t>8,72</t>
  </si>
  <si>
    <t>50,0</t>
  </si>
  <si>
    <t>8,71</t>
  </si>
  <si>
    <t>8,70</t>
  </si>
  <si>
    <t>49,5</t>
  </si>
  <si>
    <t>8,68</t>
  </si>
  <si>
    <t>49,0</t>
  </si>
  <si>
    <t>8,67</t>
  </si>
  <si>
    <t>8,65</t>
  </si>
  <si>
    <t>48,5</t>
  </si>
  <si>
    <t>8,64</t>
  </si>
  <si>
    <t>48,0</t>
  </si>
  <si>
    <t>8,62</t>
  </si>
  <si>
    <t>47,5</t>
  </si>
  <si>
    <t>8,61</t>
  </si>
  <si>
    <t>8,60</t>
  </si>
  <si>
    <t>47,0</t>
  </si>
  <si>
    <t>8,58</t>
  </si>
  <si>
    <t>46,5</t>
  </si>
  <si>
    <t>8,57</t>
  </si>
  <si>
    <t>46,0</t>
  </si>
  <si>
    <t>8,56</t>
  </si>
  <si>
    <t>8,54</t>
  </si>
  <si>
    <t>45,5</t>
  </si>
  <si>
    <t>8,53</t>
  </si>
  <si>
    <t>45,0</t>
  </si>
  <si>
    <t>8,52</t>
  </si>
  <si>
    <t>44,5</t>
  </si>
  <si>
    <t>8,51</t>
  </si>
  <si>
    <t>8,50</t>
  </si>
  <si>
    <t>44,0</t>
  </si>
  <si>
    <t>8,49</t>
  </si>
  <si>
    <t>43,5</t>
  </si>
  <si>
    <t>8,48</t>
  </si>
  <si>
    <t>43,0</t>
  </si>
  <si>
    <t>8,47</t>
  </si>
  <si>
    <t>8,46</t>
  </si>
  <si>
    <t>42,5</t>
  </si>
  <si>
    <t>8,45</t>
  </si>
  <si>
    <t>42,0</t>
  </si>
  <si>
    <t>8,44</t>
  </si>
  <si>
    <t>41,5</t>
  </si>
  <si>
    <t>8,43</t>
  </si>
  <si>
    <t>8,42</t>
  </si>
  <si>
    <t>41,0</t>
  </si>
  <si>
    <t>8,41</t>
  </si>
  <si>
    <t>40,5</t>
  </si>
  <si>
    <t>8,40</t>
  </si>
  <si>
    <t>40,0</t>
  </si>
  <si>
    <t>8,39</t>
  </si>
  <si>
    <t>8,38</t>
  </si>
  <si>
    <t>39,5</t>
  </si>
  <si>
    <t>8,36</t>
  </si>
  <si>
    <t>39,0</t>
  </si>
  <si>
    <t>8,35</t>
  </si>
  <si>
    <t>38,5</t>
  </si>
  <si>
    <t>8,34</t>
  </si>
  <si>
    <t>8,33</t>
  </si>
  <si>
    <t>38,0</t>
  </si>
  <si>
    <t>8,32</t>
  </si>
  <si>
    <t>37,5</t>
  </si>
  <si>
    <t>8,30</t>
  </si>
  <si>
    <t>37,0</t>
  </si>
  <si>
    <t>8,29</t>
  </si>
  <si>
    <t>8,27</t>
  </si>
  <si>
    <t>36,5</t>
  </si>
  <si>
    <t>8,26</t>
  </si>
  <si>
    <t>36,0</t>
  </si>
  <si>
    <t>8,25</t>
  </si>
  <si>
    <t>35,5</t>
  </si>
  <si>
    <t>8,23</t>
  </si>
  <si>
    <t>8,22</t>
  </si>
  <si>
    <t>35,0</t>
  </si>
  <si>
    <t>8,21</t>
  </si>
  <si>
    <t>34,5</t>
  </si>
  <si>
    <t>8,20</t>
  </si>
  <si>
    <t>34,0</t>
  </si>
  <si>
    <t>8,19</t>
  </si>
  <si>
    <t>33,5</t>
  </si>
  <si>
    <t>8,17</t>
  </si>
  <si>
    <t>8,16</t>
  </si>
  <si>
    <t>33,0</t>
  </si>
  <si>
    <t>8,15</t>
  </si>
  <si>
    <t>32,5</t>
  </si>
  <si>
    <t>8,13</t>
  </si>
  <si>
    <t>32,0</t>
  </si>
  <si>
    <t>8,12</t>
  </si>
  <si>
    <t>31,5</t>
  </si>
  <si>
    <t>8,11</t>
  </si>
  <si>
    <t>8,09</t>
  </si>
  <si>
    <t>31,0</t>
  </si>
  <si>
    <t>8,07</t>
  </si>
  <si>
    <t>30,5</t>
  </si>
  <si>
    <t>8,06</t>
  </si>
  <si>
    <t>30,0</t>
  </si>
  <si>
    <t>8,04</t>
  </si>
  <si>
    <t>8,03</t>
  </si>
  <si>
    <t>29,5</t>
  </si>
  <si>
    <t>8,02</t>
  </si>
  <si>
    <t>29,0</t>
  </si>
  <si>
    <t>8,00</t>
  </si>
  <si>
    <t>28,5</t>
  </si>
  <si>
    <t>7,99</t>
  </si>
  <si>
    <t>7,98</t>
  </si>
  <si>
    <t>28,0</t>
  </si>
  <si>
    <t>7,96</t>
  </si>
  <si>
    <t>27,5</t>
  </si>
  <si>
    <t>7,95</t>
  </si>
  <si>
    <t>27,0</t>
  </si>
  <si>
    <t>7,94</t>
  </si>
  <si>
    <t>7,92</t>
  </si>
  <si>
    <t>26,5</t>
  </si>
  <si>
    <t>7,90</t>
  </si>
  <si>
    <t>26,0</t>
  </si>
  <si>
    <t>7,88</t>
  </si>
  <si>
    <t>25,5</t>
  </si>
  <si>
    <t>7,86</t>
  </si>
  <si>
    <t>25,0</t>
  </si>
  <si>
    <t>7,84</t>
  </si>
  <si>
    <t>24,5</t>
  </si>
  <si>
    <t>7,82</t>
  </si>
  <si>
    <t>24,0</t>
  </si>
  <si>
    <t>7,80</t>
  </si>
  <si>
    <t>23,5</t>
  </si>
  <si>
    <t>7,79</t>
  </si>
  <si>
    <t>23,0</t>
  </si>
  <si>
    <t>7,77</t>
  </si>
  <si>
    <t>22,5</t>
  </si>
  <si>
    <t>7,76</t>
  </si>
  <si>
    <t>22,0</t>
  </si>
  <si>
    <t>7,74</t>
  </si>
  <si>
    <t>21,5</t>
  </si>
  <si>
    <t>7,73</t>
  </si>
  <si>
    <t>21,0</t>
  </si>
  <si>
    <t>7,71</t>
  </si>
  <si>
    <t>20,5</t>
  </si>
  <si>
    <t>7,70</t>
  </si>
  <si>
    <t>20,0</t>
  </si>
  <si>
    <t>7,68</t>
  </si>
  <si>
    <t>19,5</t>
  </si>
  <si>
    <t>7,67</t>
  </si>
  <si>
    <t>19,0</t>
  </si>
  <si>
    <t>7,66</t>
  </si>
  <si>
    <t>18,5</t>
  </si>
  <si>
    <t>7,64</t>
  </si>
  <si>
    <t>18,0</t>
  </si>
  <si>
    <t>7,63</t>
  </si>
  <si>
    <t>17,5</t>
  </si>
  <si>
    <t>7,62</t>
  </si>
  <si>
    <t>17,0</t>
  </si>
  <si>
    <t>7,60</t>
  </si>
  <si>
    <t>16,5</t>
  </si>
  <si>
    <t>7,59</t>
  </si>
  <si>
    <t>16,0</t>
  </si>
  <si>
    <t>7,58</t>
  </si>
  <si>
    <t>15,5</t>
  </si>
  <si>
    <t>7,56</t>
  </si>
  <si>
    <t>15,0</t>
  </si>
  <si>
    <t>7,55</t>
  </si>
  <si>
    <t>14,5</t>
  </si>
  <si>
    <t>7,54</t>
  </si>
  <si>
    <t>14,0</t>
  </si>
  <si>
    <t>7,52</t>
  </si>
  <si>
    <t>13,5</t>
  </si>
  <si>
    <t>7,51</t>
  </si>
  <si>
    <t>13,0</t>
  </si>
  <si>
    <t>7,50</t>
  </si>
  <si>
    <t>12,5</t>
  </si>
  <si>
    <t>7,48</t>
  </si>
  <si>
    <t>12,0</t>
  </si>
  <si>
    <t>7,47</t>
  </si>
  <si>
    <t>11,5</t>
  </si>
  <si>
    <t>7,46</t>
  </si>
  <si>
    <t>11,0</t>
  </si>
  <si>
    <t>7,44</t>
  </si>
  <si>
    <t>10,5</t>
  </si>
  <si>
    <t>7,43</t>
  </si>
  <si>
    <t>10,0</t>
  </si>
  <si>
    <t>7,42</t>
  </si>
  <si>
    <t>7,40</t>
  </si>
  <si>
    <t>7,39</t>
  </si>
  <si>
    <t>Punkty(5)</t>
  </si>
  <si>
    <t>Pkt</t>
  </si>
  <si>
    <t>60 m</t>
  </si>
  <si>
    <t>60 R</t>
  </si>
  <si>
    <t>100 m</t>
  </si>
  <si>
    <t>100R</t>
  </si>
  <si>
    <t>300m</t>
  </si>
  <si>
    <t>300R</t>
  </si>
  <si>
    <t>lOOpl (76,2 cm/8,20)</t>
  </si>
  <si>
    <t>lO0płR (76,2 cm/8,50)</t>
  </si>
  <si>
    <t>lOOpl (76,2 cm)</t>
  </si>
  <si>
    <t xml:space="preserve">4x100 </t>
  </si>
  <si>
    <t>4xlOOR</t>
  </si>
  <si>
    <t>skok wzwyż</t>
  </si>
  <si>
    <t>skok w dal</t>
  </si>
  <si>
    <t>kula        (4 kg)</t>
  </si>
  <si>
    <t>kula            (3 kg)</t>
  </si>
  <si>
    <t>dysk (1 kg)</t>
  </si>
  <si>
    <t>oszczep (600 g)</t>
  </si>
  <si>
    <t>piłka palant.</t>
  </si>
  <si>
    <t>7.38</t>
  </si>
  <si>
    <t>11.97</t>
  </si>
  <si>
    <t>40.35</t>
  </si>
  <si>
    <t>40.1</t>
  </si>
  <si>
    <t>1:32.11</t>
  </si>
  <si>
    <t>14.25</t>
  </si>
  <si>
    <t>14.0</t>
  </si>
  <si>
    <t>47.14</t>
  </si>
  <si>
    <t>46.9</t>
  </si>
  <si>
    <t>1.79</t>
  </si>
  <si>
    <t>5.93</t>
  </si>
  <si>
    <t>14.03</t>
  </si>
  <si>
    <t>14.37</t>
  </si>
  <si>
    <t>43.18</t>
  </si>
  <si>
    <t>47.96</t>
  </si>
  <si>
    <t>7.39</t>
  </si>
  <si>
    <t>11.99</t>
  </si>
  <si>
    <t>40.43</t>
  </si>
  <si>
    <t>40.2</t>
  </si>
  <si>
    <t>1:32.29</t>
  </si>
  <si>
    <t>14.30</t>
  </si>
  <si>
    <t>47.22</t>
  </si>
  <si>
    <t>47.0</t>
  </si>
  <si>
    <t>1.78</t>
  </si>
  <si>
    <t>5.91</t>
  </si>
  <si>
    <t>13.96</t>
  </si>
  <si>
    <t>42.98</t>
  </si>
  <si>
    <t>47.74</t>
  </si>
  <si>
    <t>7.40</t>
  </si>
  <si>
    <t>12.01</t>
  </si>
  <si>
    <t>40.50</t>
  </si>
  <si>
    <t>40.3</t>
  </si>
  <si>
    <t>1:32.48</t>
  </si>
  <si>
    <t>14.34</t>
  </si>
  <si>
    <t>14.1</t>
  </si>
  <si>
    <t>47.31</t>
  </si>
  <si>
    <t>47.1</t>
  </si>
  <si>
    <t>1.77</t>
  </si>
  <si>
    <t>5.90</t>
  </si>
  <si>
    <t>13.89</t>
  </si>
  <si>
    <t>14.23</t>
  </si>
  <si>
    <t>42.76</t>
  </si>
  <si>
    <t>47.52</t>
  </si>
  <si>
    <t>7.42</t>
  </si>
  <si>
    <t>12.04</t>
  </si>
  <si>
    <t>11.8</t>
  </si>
  <si>
    <t>40.57</t>
  </si>
  <si>
    <t>1:32.67</t>
  </si>
  <si>
    <t>14.38</t>
  </si>
  <si>
    <t>47.39</t>
  </si>
  <si>
    <t>47.2</t>
  </si>
  <si>
    <t>5.88</t>
  </si>
  <si>
    <t>13.82</t>
  </si>
  <si>
    <t>14.17</t>
  </si>
  <si>
    <t>42.56</t>
  </si>
  <si>
    <t>47.32</t>
  </si>
  <si>
    <t>7.43</t>
  </si>
  <si>
    <t>12.06</t>
  </si>
  <si>
    <t>40.64</t>
  </si>
  <si>
    <t>40.4</t>
  </si>
  <si>
    <t>1:32.86</t>
  </si>
  <si>
    <t>14.42</t>
  </si>
  <si>
    <t>14.2</t>
  </si>
  <si>
    <t>47.48</t>
  </si>
  <si>
    <t>47.3</t>
  </si>
  <si>
    <t>1.76</t>
  </si>
  <si>
    <t>5.87</t>
  </si>
  <si>
    <t>13.76</t>
  </si>
  <si>
    <t>14.10</t>
  </si>
  <si>
    <t>42.36</t>
  </si>
  <si>
    <t>47.10</t>
  </si>
  <si>
    <t>7.44</t>
  </si>
  <si>
    <t>7.2</t>
  </si>
  <si>
    <t>12.08</t>
  </si>
  <si>
    <t>40.71</t>
  </si>
  <si>
    <t>40.5</t>
  </si>
  <si>
    <t>1:33.05</t>
  </si>
  <si>
    <t>14.46</t>
  </si>
  <si>
    <t>47.57</t>
  </si>
  <si>
    <t>5.85</t>
  </si>
  <si>
    <t>13.69</t>
  </si>
  <si>
    <t>42.16</t>
  </si>
  <si>
    <t>46.88</t>
  </si>
  <si>
    <t>7.46</t>
  </si>
  <si>
    <t>12.10</t>
  </si>
  <si>
    <t>40.78</t>
  </si>
  <si>
    <t>1:33.24</t>
  </si>
  <si>
    <t>14.50</t>
  </si>
  <si>
    <t>47.65</t>
  </si>
  <si>
    <t>47.4</t>
  </si>
  <si>
    <t>1.75</t>
  </si>
  <si>
    <t>5.84</t>
  </si>
  <si>
    <t>13.62</t>
  </si>
  <si>
    <t>41.96</t>
  </si>
  <si>
    <t>46.66</t>
  </si>
  <si>
    <t>7.47</t>
  </si>
  <si>
    <t>12.12</t>
  </si>
  <si>
    <t>40.85</t>
  </si>
  <si>
    <t>40.6</t>
  </si>
  <si>
    <t>1:33.43</t>
  </si>
  <si>
    <t>14.54</t>
  </si>
  <si>
    <t>14.3</t>
  </si>
  <si>
    <t>47.5</t>
  </si>
  <si>
    <t>5.83</t>
  </si>
  <si>
    <t>13.55</t>
  </si>
  <si>
    <t>41.76</t>
  </si>
  <si>
    <t>46.44</t>
  </si>
  <si>
    <t>7.48</t>
  </si>
  <si>
    <t>12.14</t>
  </si>
  <si>
    <t>11.9</t>
  </si>
  <si>
    <t>40.92</t>
  </si>
  <si>
    <t>40.7</t>
  </si>
  <si>
    <t>1:33.62</t>
  </si>
  <si>
    <t>14.59</t>
  </si>
  <si>
    <t>47.83</t>
  </si>
  <si>
    <t>47.6</t>
  </si>
  <si>
    <t>1.74</t>
  </si>
  <si>
    <t>5.81</t>
  </si>
  <si>
    <t>13.48</t>
  </si>
  <si>
    <t>41.56</t>
  </si>
  <si>
    <t>46.22</t>
  </si>
  <si>
    <t>7.50</t>
  </si>
  <si>
    <t>12.17</t>
  </si>
  <si>
    <t>40.99</t>
  </si>
  <si>
    <t>40.8</t>
  </si>
  <si>
    <t>1:33.81</t>
  </si>
  <si>
    <t>14.63</t>
  </si>
  <si>
    <t>14.4</t>
  </si>
  <si>
    <t>47.91</t>
  </si>
  <si>
    <t>47.7</t>
  </si>
  <si>
    <t>5.80</t>
  </si>
  <si>
    <t>13.41</t>
  </si>
  <si>
    <t>41.34</t>
  </si>
  <si>
    <t>46.02</t>
  </si>
  <si>
    <t>7.51</t>
  </si>
  <si>
    <t>12.19</t>
  </si>
  <si>
    <t>41.06</t>
  </si>
  <si>
    <t>1:34.00</t>
  </si>
  <si>
    <t>14.67</t>
  </si>
  <si>
    <t>48.00</t>
  </si>
  <si>
    <t>47.8</t>
  </si>
  <si>
    <t>5.78</t>
  </si>
  <si>
    <t>13.35</t>
  </si>
  <si>
    <t>41.14</t>
  </si>
  <si>
    <t>45.80</t>
  </si>
  <si>
    <t>7.52</t>
  </si>
  <si>
    <t>12.21</t>
  </si>
  <si>
    <t>41.13</t>
  </si>
  <si>
    <t>40.9</t>
  </si>
  <si>
    <t>1:34.19</t>
  </si>
  <si>
    <t>14.71</t>
  </si>
  <si>
    <t>48.09</t>
  </si>
  <si>
    <t>47.9</t>
  </si>
  <si>
    <t>1.73</t>
  </si>
  <si>
    <t>5.77</t>
  </si>
  <si>
    <t>13.28</t>
  </si>
  <si>
    <t>40.94</t>
  </si>
  <si>
    <t>45.58</t>
  </si>
  <si>
    <t>7.54</t>
  </si>
  <si>
    <t>12.23</t>
  </si>
  <si>
    <t>12.0</t>
  </si>
  <si>
    <t>41.20</t>
  </si>
  <si>
    <t>41.0</t>
  </si>
  <si>
    <t>1:34.39</t>
  </si>
  <si>
    <t>14.75</t>
  </si>
  <si>
    <t>14.5</t>
  </si>
  <si>
    <t>48.18</t>
  </si>
  <si>
    <t>48.0</t>
  </si>
  <si>
    <t>5.76</t>
  </si>
  <si>
    <t>13.21</t>
  </si>
  <si>
    <t>40.74</t>
  </si>
  <si>
    <t>45.36</t>
  </si>
  <si>
    <t>7.55</t>
  </si>
  <si>
    <t>7.3</t>
  </si>
  <si>
    <t>12.26</t>
  </si>
  <si>
    <t>41.27</t>
  </si>
  <si>
    <t>1:34.58</t>
  </si>
  <si>
    <t>14.80</t>
  </si>
  <si>
    <t>48.26</t>
  </si>
  <si>
    <t>1.72</t>
  </si>
  <si>
    <t>5.74</t>
  </si>
  <si>
    <t>13.14</t>
  </si>
  <si>
    <t>40.54</t>
  </si>
  <si>
    <t>45.14</t>
  </si>
  <si>
    <t>7.56</t>
  </si>
  <si>
    <t>12.28</t>
  </si>
  <si>
    <t>41.1</t>
  </si>
  <si>
    <t>1:34.77</t>
  </si>
  <si>
    <t>14.84</t>
  </si>
  <si>
    <t>14.6</t>
  </si>
  <si>
    <t>48.35</t>
  </si>
  <si>
    <t>48.1</t>
  </si>
  <si>
    <t>5.73</t>
  </si>
  <si>
    <t>13.07</t>
  </si>
  <si>
    <t>40.34</t>
  </si>
  <si>
    <t>44.92</t>
  </si>
  <si>
    <t>7.58</t>
  </si>
  <si>
    <t>12.30</t>
  </si>
  <si>
    <t>41.41</t>
  </si>
  <si>
    <t>41.2</t>
  </si>
  <si>
    <t>1:34.97</t>
  </si>
  <si>
    <t>14.88</t>
  </si>
  <si>
    <t>48.44</t>
  </si>
  <si>
    <t>48.2</t>
  </si>
  <si>
    <t>1.71</t>
  </si>
  <si>
    <t>5.71</t>
  </si>
  <si>
    <t>13.01</t>
  </si>
  <si>
    <t>40.12</t>
  </si>
  <si>
    <t>44.72</t>
  </si>
  <si>
    <t>72.5</t>
  </si>
  <si>
    <t>7.59</t>
  </si>
  <si>
    <t>12.32</t>
  </si>
  <si>
    <t>41.48</t>
  </si>
  <si>
    <t>1:35.17</t>
  </si>
  <si>
    <t>14.92</t>
  </si>
  <si>
    <t>14.7</t>
  </si>
  <si>
    <t>48.53</t>
  </si>
  <si>
    <t>48.3</t>
  </si>
  <si>
    <t>5.70</t>
  </si>
  <si>
    <t>12.94</t>
  </si>
  <si>
    <t>39.92</t>
  </si>
  <si>
    <t>44.50</t>
  </si>
  <si>
    <t>7.60</t>
  </si>
  <si>
    <t xml:space="preserve">12.34 </t>
  </si>
  <si>
    <t>12.1</t>
  </si>
  <si>
    <t>41.55</t>
  </si>
  <si>
    <t>41.3</t>
  </si>
  <si>
    <t>1:35.36</t>
  </si>
  <si>
    <t>14.96</t>
  </si>
  <si>
    <t>48.62</t>
  </si>
  <si>
    <t>48.4</t>
  </si>
  <si>
    <t>1.70</t>
  </si>
  <si>
    <t>5.68</t>
  </si>
  <si>
    <t>12.87</t>
  </si>
  <si>
    <t>39.72</t>
  </si>
  <si>
    <t>44.28</t>
  </si>
  <si>
    <t>7.62</t>
  </si>
  <si>
    <t>12.37</t>
  </si>
  <si>
    <t>41.63</t>
  </si>
  <si>
    <t>41.4</t>
  </si>
  <si>
    <t>1:35.56</t>
  </si>
  <si>
    <t>15.01</t>
  </si>
  <si>
    <t>48.71</t>
  </si>
  <si>
    <t>48.5</t>
  </si>
  <si>
    <t>5.67</t>
  </si>
  <si>
    <t>12.80</t>
  </si>
  <si>
    <t>39.52</t>
  </si>
  <si>
    <t>44.06</t>
  </si>
  <si>
    <t>7.63</t>
  </si>
  <si>
    <t>12.39</t>
  </si>
  <si>
    <t>41.70</t>
  </si>
  <si>
    <t>41.5</t>
  </si>
  <si>
    <t>1:35.76</t>
  </si>
  <si>
    <t>15.05</t>
  </si>
  <si>
    <t>14.8</t>
  </si>
  <si>
    <t>48.80</t>
  </si>
  <si>
    <t>48.6</t>
  </si>
  <si>
    <t>1.69</t>
  </si>
  <si>
    <t>5.65</t>
  </si>
  <si>
    <t>12.73</t>
  </si>
  <si>
    <t>39.32</t>
  </si>
  <si>
    <t>43.84</t>
  </si>
  <si>
    <t>7.64</t>
  </si>
  <si>
    <t>7.4</t>
  </si>
  <si>
    <t>12.41</t>
  </si>
  <si>
    <t>41.77</t>
  </si>
  <si>
    <t>1:35.95</t>
  </si>
  <si>
    <t>15.09</t>
  </si>
  <si>
    <t>48.89</t>
  </si>
  <si>
    <t>48.7</t>
  </si>
  <si>
    <t>5.64</t>
  </si>
  <si>
    <t>12.66</t>
  </si>
  <si>
    <t>39.12</t>
  </si>
  <si>
    <t>43.62</t>
  </si>
  <si>
    <t>71.0</t>
  </si>
  <si>
    <t>7.66</t>
  </si>
  <si>
    <t xml:space="preserve">12.44 </t>
  </si>
  <si>
    <t>12.2</t>
  </si>
  <si>
    <t>41.84</t>
  </si>
  <si>
    <t>41.6</t>
  </si>
  <si>
    <t>1:36.15</t>
  </si>
  <si>
    <t>15.14</t>
  </si>
  <si>
    <t>14.9</t>
  </si>
  <si>
    <t>48.98</t>
  </si>
  <si>
    <t>48.8</t>
  </si>
  <si>
    <t>1.68</t>
  </si>
  <si>
    <t>5.63</t>
  </si>
  <si>
    <t>12.60</t>
  </si>
  <si>
    <t>38.90</t>
  </si>
  <si>
    <t>43.42</t>
  </si>
  <si>
    <t>7.67</t>
  </si>
  <si>
    <t>12.46</t>
  </si>
  <si>
    <t>41.92</t>
  </si>
  <si>
    <t>41.7</t>
  </si>
  <si>
    <t>1:36.35</t>
  </si>
  <si>
    <t>15.18</t>
  </si>
  <si>
    <t>49.07</t>
  </si>
  <si>
    <t>48.9</t>
  </si>
  <si>
    <t>5.61</t>
  </si>
  <si>
    <t>12.53</t>
  </si>
  <si>
    <t>38.70</t>
  </si>
  <si>
    <t>43.20</t>
  </si>
  <si>
    <t>7.68</t>
  </si>
  <si>
    <t>12.48</t>
  </si>
  <si>
    <t>41.99</t>
  </si>
  <si>
    <t>41.8</t>
  </si>
  <si>
    <t>1:36.55</t>
  </si>
  <si>
    <t>15.22</t>
  </si>
  <si>
    <t>15.0</t>
  </si>
  <si>
    <t>49.16</t>
  </si>
  <si>
    <t>1.67</t>
  </si>
  <si>
    <t>5.60</t>
  </si>
  <si>
    <t>38.50</t>
  </si>
  <si>
    <t>7.70</t>
  </si>
  <si>
    <t>12.50</t>
  </si>
  <si>
    <t>42.06</t>
  </si>
  <si>
    <t>1:36.75</t>
  </si>
  <si>
    <t>15.27</t>
  </si>
  <si>
    <t>49.25</t>
  </si>
  <si>
    <t>49.0</t>
  </si>
  <si>
    <t>5.58</t>
  </si>
  <si>
    <t>38.30</t>
  </si>
  <si>
    <t>7.71</t>
  </si>
  <si>
    <t>42.13</t>
  </si>
  <si>
    <t>41.9</t>
  </si>
  <si>
    <t>1:36.95</t>
  </si>
  <si>
    <t>15.31</t>
  </si>
  <si>
    <t>49.34</t>
  </si>
  <si>
    <t>49.1</t>
  </si>
  <si>
    <t>5.57</t>
  </si>
  <si>
    <t>38.10</t>
  </si>
  <si>
    <t>42.54</t>
  </si>
  <si>
    <t>7.73</t>
  </si>
  <si>
    <t>12.55</t>
  </si>
  <si>
    <t>12.3</t>
  </si>
  <si>
    <t>42.21</t>
  </si>
  <si>
    <t>42.0</t>
  </si>
  <si>
    <t>1:37.16</t>
  </si>
  <si>
    <t>15.35</t>
  </si>
  <si>
    <t>15.1</t>
  </si>
  <si>
    <t>49.43</t>
  </si>
  <si>
    <t>49.2</t>
  </si>
  <si>
    <t>1.66</t>
  </si>
  <si>
    <t>5.55</t>
  </si>
  <si>
    <t>12.25</t>
  </si>
  <si>
    <t>37.90</t>
  </si>
  <si>
    <t>42.32</t>
  </si>
  <si>
    <t>7.74</t>
  </si>
  <si>
    <t>7.5</t>
  </si>
  <si>
    <t>12.57</t>
  </si>
  <si>
    <t>42.28</t>
  </si>
  <si>
    <t>42.1</t>
  </si>
  <si>
    <t>1:37.36</t>
  </si>
  <si>
    <t>15.40</t>
  </si>
  <si>
    <t>49.52</t>
  </si>
  <si>
    <t>49.3</t>
  </si>
  <si>
    <t>5.54</t>
  </si>
  <si>
    <t>37.68</t>
  </si>
  <si>
    <t>42.10</t>
  </si>
  <si>
    <t>7.76</t>
  </si>
  <si>
    <t>1:37.56</t>
  </si>
  <si>
    <t>15.44</t>
  </si>
  <si>
    <t>15.2</t>
  </si>
  <si>
    <t>49.61</t>
  </si>
  <si>
    <t>49.4</t>
  </si>
  <si>
    <t>1.65</t>
  </si>
  <si>
    <t>5.52</t>
  </si>
  <si>
    <t>37.48</t>
  </si>
  <si>
    <t>41.90</t>
  </si>
  <si>
    <t>7.77</t>
  </si>
  <si>
    <t>12.62</t>
  </si>
  <si>
    <t>42.43</t>
  </si>
  <si>
    <t>42.2</t>
  </si>
  <si>
    <t>1:37.77</t>
  </si>
  <si>
    <t>15.48</t>
  </si>
  <si>
    <t>49.70</t>
  </si>
  <si>
    <t>49.5</t>
  </si>
  <si>
    <t>5.51</t>
  </si>
  <si>
    <t>12.05</t>
  </si>
  <si>
    <t>37.28</t>
  </si>
  <si>
    <t>41.68</t>
  </si>
  <si>
    <t>68.5</t>
  </si>
  <si>
    <t>7.79</t>
  </si>
  <si>
    <t>12.64</t>
  </si>
  <si>
    <t>12.4</t>
  </si>
  <si>
    <t>42.50</t>
  </si>
  <si>
    <t>42.3</t>
  </si>
  <si>
    <t>1:37.97</t>
  </si>
  <si>
    <t>15.53</t>
  </si>
  <si>
    <t>15.3</t>
  </si>
  <si>
    <t>49.80</t>
  </si>
  <si>
    <t>49.6</t>
  </si>
  <si>
    <t>1.64</t>
  </si>
  <si>
    <t>5.49</t>
  </si>
  <si>
    <t>11.98</t>
  </si>
  <si>
    <t>37.08</t>
  </si>
  <si>
    <t>41.46</t>
  </si>
  <si>
    <t>68.0</t>
  </si>
  <si>
    <t>7.80</t>
  </si>
  <si>
    <t>12.67</t>
  </si>
  <si>
    <t>42.58</t>
  </si>
  <si>
    <t>42.4</t>
  </si>
  <si>
    <t>1:38.18</t>
  </si>
  <si>
    <t>15.57</t>
  </si>
  <si>
    <t>15.59</t>
  </si>
  <si>
    <t>49.89</t>
  </si>
  <si>
    <t>49.7</t>
  </si>
  <si>
    <t>5.48</t>
  </si>
  <si>
    <t>11.87</t>
  </si>
  <si>
    <t>36.81</t>
  </si>
  <si>
    <t>7.82</t>
  </si>
  <si>
    <t>12.70</t>
  </si>
  <si>
    <t>42.66</t>
  </si>
  <si>
    <t>1:38.46</t>
  </si>
  <si>
    <t>15.62</t>
  </si>
  <si>
    <t>15.4</t>
  </si>
  <si>
    <t>15.65</t>
  </si>
  <si>
    <t>49.98</t>
  </si>
  <si>
    <t>49.8</t>
  </si>
  <si>
    <t>1.63</t>
  </si>
  <si>
    <t>5.47</t>
  </si>
  <si>
    <t>11.77</t>
  </si>
  <si>
    <t>36.54</t>
  </si>
  <si>
    <t>40.82</t>
  </si>
  <si>
    <t>67.5</t>
  </si>
  <si>
    <t>7.84</t>
  </si>
  <si>
    <t>7.6</t>
  </si>
  <si>
    <t>12.5</t>
  </si>
  <si>
    <t>42.74</t>
  </si>
  <si>
    <t>42.5</t>
  </si>
  <si>
    <t>1:38.74</t>
  </si>
  <si>
    <t>15.67</t>
  </si>
  <si>
    <t>15.72</t>
  </si>
  <si>
    <t>15.5</t>
  </si>
  <si>
    <t>50.07</t>
  </si>
  <si>
    <t>49.9</t>
  </si>
  <si>
    <t>5.46</t>
  </si>
  <si>
    <t>11.66</t>
  </si>
  <si>
    <t>36.27</t>
  </si>
  <si>
    <t>7.86</t>
  </si>
  <si>
    <t>12.76</t>
  </si>
  <si>
    <t>42.82</t>
  </si>
  <si>
    <t>42.6</t>
  </si>
  <si>
    <t>1:38.98</t>
  </si>
  <si>
    <t>15.78</t>
  </si>
  <si>
    <t>50.17</t>
  </si>
  <si>
    <t>50.0</t>
  </si>
  <si>
    <t>1.62</t>
  </si>
  <si>
    <t>5.45</t>
  </si>
  <si>
    <t>11.55</t>
  </si>
  <si>
    <t>11.88</t>
  </si>
  <si>
    <t>36.00</t>
  </si>
  <si>
    <t>40.18</t>
  </si>
  <si>
    <t>7.88</t>
  </si>
  <si>
    <t>12.79</t>
  </si>
  <si>
    <t>42.90</t>
  </si>
  <si>
    <t>42.7</t>
  </si>
  <si>
    <t>1:39.26</t>
  </si>
  <si>
    <t>15.85</t>
  </si>
  <si>
    <t>15.6</t>
  </si>
  <si>
    <t>50.26</t>
  </si>
  <si>
    <t>5.44</t>
  </si>
  <si>
    <t>11.45</t>
  </si>
  <si>
    <t>35.73</t>
  </si>
  <si>
    <t>39.86</t>
  </si>
  <si>
    <t>7.90</t>
  </si>
  <si>
    <t>12.82</t>
  </si>
  <si>
    <t>42.8</t>
  </si>
  <si>
    <t>1:39.54</t>
  </si>
  <si>
    <t>15.84</t>
  </si>
  <si>
    <t>15.91</t>
  </si>
  <si>
    <t>15.7</t>
  </si>
  <si>
    <t>50.35</t>
  </si>
  <si>
    <t>50.1</t>
  </si>
  <si>
    <t>1.61</t>
  </si>
  <si>
    <t>5.43</t>
  </si>
  <si>
    <t>11.34</t>
  </si>
  <si>
    <t>35.46</t>
  </si>
  <si>
    <t>39.54</t>
  </si>
  <si>
    <t>7.92</t>
  </si>
  <si>
    <t>12.85</t>
  </si>
  <si>
    <t>12.6</t>
  </si>
  <si>
    <t>43.06</t>
  </si>
  <si>
    <t>1:39.82</t>
  </si>
  <si>
    <t>15.90</t>
  </si>
  <si>
    <t>15.97</t>
  </si>
  <si>
    <t>50.45</t>
  </si>
  <si>
    <t>50.2</t>
  </si>
  <si>
    <t>5.42</t>
  </si>
  <si>
    <t>11.23</t>
  </si>
  <si>
    <t>35.19</t>
  </si>
  <si>
    <t>39.22</t>
  </si>
  <si>
    <t>66.0</t>
  </si>
  <si>
    <t>7.94</t>
  </si>
  <si>
    <t>12.88</t>
  </si>
  <si>
    <t>43.14</t>
  </si>
  <si>
    <t>42.9</t>
  </si>
  <si>
    <t>1:40.10</t>
  </si>
  <si>
    <t>15.96</t>
  </si>
  <si>
    <t>16.03</t>
  </si>
  <si>
    <t>15.8</t>
  </si>
  <si>
    <t>50.54</t>
  </si>
  <si>
    <t>50.3</t>
  </si>
  <si>
    <t>1.60</t>
  </si>
  <si>
    <t>5.41</t>
  </si>
  <si>
    <t>11.13</t>
  </si>
  <si>
    <t>11.44</t>
  </si>
  <si>
    <t>34.92</t>
  </si>
  <si>
    <t>7.95</t>
  </si>
  <si>
    <t>7.7</t>
  </si>
  <si>
    <t>12.90</t>
  </si>
  <si>
    <t>43.23</t>
  </si>
  <si>
    <t>43.0</t>
  </si>
  <si>
    <t>1:40.38</t>
  </si>
  <si>
    <t>16.02</t>
  </si>
  <si>
    <t>16.09</t>
  </si>
  <si>
    <t>50.64</t>
  </si>
  <si>
    <t>50.4</t>
  </si>
  <si>
    <t>5.39</t>
  </si>
  <si>
    <t>11.02</t>
  </si>
  <si>
    <t>11.33</t>
  </si>
  <si>
    <t>34.65</t>
  </si>
  <si>
    <t>38.58</t>
  </si>
  <si>
    <t>7.96</t>
  </si>
  <si>
    <t>12.92</t>
  </si>
  <si>
    <t>43.32</t>
  </si>
  <si>
    <t>43.1</t>
  </si>
  <si>
    <t>1:40.66</t>
  </si>
  <si>
    <t>16.08</t>
  </si>
  <si>
    <t>16.15</t>
  </si>
  <si>
    <t>15.9</t>
  </si>
  <si>
    <t>50.73</t>
  </si>
  <si>
    <t>50.5</t>
  </si>
  <si>
    <t>5.38</t>
  </si>
  <si>
    <t>10.91</t>
  </si>
  <si>
    <t>11.22</t>
  </si>
  <si>
    <t>34.38</t>
  </si>
  <si>
    <t>38.26</t>
  </si>
  <si>
    <t>7.98</t>
  </si>
  <si>
    <t>12.7</t>
  </si>
  <si>
    <t>43.41</t>
  </si>
  <si>
    <t>43.2</t>
  </si>
  <si>
    <t>1:40.94</t>
  </si>
  <si>
    <t>16.14</t>
  </si>
  <si>
    <t>16.21</t>
  </si>
  <si>
    <t>16.0</t>
  </si>
  <si>
    <t>50.83</t>
  </si>
  <si>
    <t>50.6</t>
  </si>
  <si>
    <t>1.59</t>
  </si>
  <si>
    <t>5.36</t>
  </si>
  <si>
    <t>10.81</t>
  </si>
  <si>
    <t>11.11</t>
  </si>
  <si>
    <t>34.11</t>
  </si>
  <si>
    <t>37.94</t>
  </si>
  <si>
    <t>65.0</t>
  </si>
  <si>
    <t>7.99</t>
  </si>
  <si>
    <t>12.97</t>
  </si>
  <si>
    <t>43.50</t>
  </si>
  <si>
    <t>43.3</t>
  </si>
  <si>
    <t>1:41.22</t>
  </si>
  <si>
    <t>16.19</t>
  </si>
  <si>
    <t>16.27</t>
  </si>
  <si>
    <t>50.92</t>
  </si>
  <si>
    <t>50.7</t>
  </si>
  <si>
    <t>5.34</t>
  </si>
  <si>
    <t>10.70</t>
  </si>
  <si>
    <t>11.00</t>
  </si>
  <si>
    <t>33.84</t>
  </si>
  <si>
    <t>37.62</t>
  </si>
  <si>
    <t>8.00</t>
  </si>
  <si>
    <t>13.00</t>
  </si>
  <si>
    <t>43.59</t>
  </si>
  <si>
    <t>43.4</t>
  </si>
  <si>
    <t>1:41.50</t>
  </si>
  <si>
    <t>16.25</t>
  </si>
  <si>
    <t>16.33</t>
  </si>
  <si>
    <t>16.1</t>
  </si>
  <si>
    <t>51.02</t>
  </si>
  <si>
    <t>50.8</t>
  </si>
  <si>
    <t>1.58</t>
  </si>
  <si>
    <t>5.32</t>
  </si>
  <si>
    <t>10.60</t>
  </si>
  <si>
    <t>10.89</t>
  </si>
  <si>
    <t>33.57</t>
  </si>
  <si>
    <t>37.30</t>
  </si>
  <si>
    <t>8.02</t>
  </si>
  <si>
    <t>13.03</t>
  </si>
  <si>
    <t>12.8</t>
  </si>
  <si>
    <t>43.68</t>
  </si>
  <si>
    <t>43.5</t>
  </si>
  <si>
    <t>1:41.78</t>
  </si>
  <si>
    <t>16.31</t>
  </si>
  <si>
    <t>16.39</t>
  </si>
  <si>
    <t>51.11</t>
  </si>
  <si>
    <t>50.9</t>
  </si>
  <si>
    <t>5.30</t>
  </si>
  <si>
    <t>10.49</t>
  </si>
  <si>
    <t>10.78</t>
  </si>
  <si>
    <t>33.30</t>
  </si>
  <si>
    <t>36.98</t>
  </si>
  <si>
    <t>64.0</t>
  </si>
  <si>
    <t>8.03</t>
  </si>
  <si>
    <t>13.06</t>
  </si>
  <si>
    <t>43.77</t>
  </si>
  <si>
    <t>43.6</t>
  </si>
  <si>
    <t>1:42.06</t>
  </si>
  <si>
    <t>16.37</t>
  </si>
  <si>
    <t>16.45</t>
  </si>
  <si>
    <t>16.2</t>
  </si>
  <si>
    <t>51.21</t>
  </si>
  <si>
    <t>51.0</t>
  </si>
  <si>
    <t>1.57</t>
  </si>
  <si>
    <t>5.27</t>
  </si>
  <si>
    <t>10.39</t>
  </si>
  <si>
    <t>10.67</t>
  </si>
  <si>
    <t>33.03</t>
  </si>
  <si>
    <t>36.66</t>
  </si>
  <si>
    <t>8.04</t>
  </si>
  <si>
    <t>7.8</t>
  </si>
  <si>
    <t>13.08</t>
  </si>
  <si>
    <t>43.86</t>
  </si>
  <si>
    <t>43.7</t>
  </si>
  <si>
    <t>1:42.34</t>
  </si>
  <si>
    <t>16.43</t>
  </si>
  <si>
    <t>16.51</t>
  </si>
  <si>
    <t>16.3</t>
  </si>
  <si>
    <t>51.31</t>
  </si>
  <si>
    <t>51.1</t>
  </si>
  <si>
    <t>5.24</t>
  </si>
  <si>
    <t>10.28</t>
  </si>
  <si>
    <t>10.56</t>
  </si>
  <si>
    <t>32.76</t>
  </si>
  <si>
    <t>36.34</t>
  </si>
  <si>
    <t>8.06</t>
  </si>
  <si>
    <t>13.10</t>
  </si>
  <si>
    <t>43.96</t>
  </si>
  <si>
    <t>43.8</t>
  </si>
  <si>
    <t>1:42.62</t>
  </si>
  <si>
    <t>16.48</t>
  </si>
  <si>
    <t>16.58</t>
  </si>
  <si>
    <t>51.40</t>
  </si>
  <si>
    <t>1.56</t>
  </si>
  <si>
    <t>5.21</t>
  </si>
  <si>
    <t>10.20</t>
  </si>
  <si>
    <t>10.48</t>
  </si>
  <si>
    <t>32.40</t>
  </si>
  <si>
    <t>36.02</t>
  </si>
  <si>
    <t>63.0</t>
  </si>
  <si>
    <t>8.07</t>
  </si>
  <si>
    <t>13.12</t>
  </si>
  <si>
    <t>43.9</t>
  </si>
  <si>
    <t>1:42.80</t>
  </si>
  <si>
    <t>16.52</t>
  </si>
  <si>
    <t>16.63</t>
  </si>
  <si>
    <t>16.4</t>
  </si>
  <si>
    <t>51.45</t>
  </si>
  <si>
    <t>51.2</t>
  </si>
  <si>
    <t>5.19</t>
  </si>
  <si>
    <t>10.17</t>
  </si>
  <si>
    <t>10.44</t>
  </si>
  <si>
    <t>32.15</t>
  </si>
  <si>
    <t>35.84</t>
  </si>
  <si>
    <t>8.09</t>
  </si>
  <si>
    <t>12.9</t>
  </si>
  <si>
    <t>44.16</t>
  </si>
  <si>
    <t>44.0</t>
  </si>
  <si>
    <t>1:42.95</t>
  </si>
  <si>
    <t>16.55</t>
  </si>
  <si>
    <t>16.67</t>
  </si>
  <si>
    <t>51.51</t>
  </si>
  <si>
    <t>51.3</t>
  </si>
  <si>
    <t>5.18</t>
  </si>
  <si>
    <t>10.14</t>
  </si>
  <si>
    <t>10.40</t>
  </si>
  <si>
    <t>31.95</t>
  </si>
  <si>
    <t>35.68</t>
  </si>
  <si>
    <t>8.11</t>
  </si>
  <si>
    <t>13.16</t>
  </si>
  <si>
    <t>44.26</t>
  </si>
  <si>
    <t>44.1</t>
  </si>
  <si>
    <t>1:43.10</t>
  </si>
  <si>
    <t>16.57</t>
  </si>
  <si>
    <t>16.71</t>
  </si>
  <si>
    <t>51.57</t>
  </si>
  <si>
    <t>1.55</t>
  </si>
  <si>
    <t>5.17</t>
  </si>
  <si>
    <t>10.10</t>
  </si>
  <si>
    <t>10.36</t>
  </si>
  <si>
    <t>31.75</t>
  </si>
  <si>
    <t>35.52</t>
  </si>
  <si>
    <t>62.5</t>
  </si>
  <si>
    <t>8.12</t>
  </si>
  <si>
    <t>13.18</t>
  </si>
  <si>
    <t>44.36</t>
  </si>
  <si>
    <t>44.2</t>
  </si>
  <si>
    <t>1:43.25</t>
  </si>
  <si>
    <t>16.59</t>
  </si>
  <si>
    <t>16.75</t>
  </si>
  <si>
    <t>16.5</t>
  </si>
  <si>
    <t>51.63</t>
  </si>
  <si>
    <t>51.4</t>
  </si>
  <si>
    <t>5.16</t>
  </si>
  <si>
    <t>10.05</t>
  </si>
  <si>
    <t>10.32</t>
  </si>
  <si>
    <t>31.55</t>
  </si>
  <si>
    <t>35.36</t>
  </si>
  <si>
    <t>8.13</t>
  </si>
  <si>
    <t>13.20</t>
  </si>
  <si>
    <t>44.44</t>
  </si>
  <si>
    <t>1:43.40</t>
  </si>
  <si>
    <t>16.61</t>
  </si>
  <si>
    <t>16.78</t>
  </si>
  <si>
    <t>51.69</t>
  </si>
  <si>
    <t>5.15</t>
  </si>
  <si>
    <t>10.00</t>
  </si>
  <si>
    <t>31.35</t>
  </si>
  <si>
    <t>35.22</t>
  </si>
  <si>
    <t>8.15</t>
  </si>
  <si>
    <t>7.9</t>
  </si>
  <si>
    <t>13.22</t>
  </si>
  <si>
    <t>44.52</t>
  </si>
  <si>
    <t>44.3</t>
  </si>
  <si>
    <t>1:43.55</t>
  </si>
  <si>
    <t>16.64</t>
  </si>
  <si>
    <t>16.81</t>
  </si>
  <si>
    <t>51.75</t>
  </si>
  <si>
    <t>51.5</t>
  </si>
  <si>
    <t>1.54</t>
  </si>
  <si>
    <t>5.14</t>
  </si>
  <si>
    <t>9.95</t>
  </si>
  <si>
    <t>10.24</t>
  </si>
  <si>
    <t>31.15</t>
  </si>
  <si>
    <t>35.08</t>
  </si>
  <si>
    <t>62.0</t>
  </si>
  <si>
    <t>8.16</t>
  </si>
  <si>
    <t>13.24</t>
  </si>
  <si>
    <t>13.0</t>
  </si>
  <si>
    <t>44.58</t>
  </si>
  <si>
    <t>1:43.70</t>
  </si>
  <si>
    <t>16.66</t>
  </si>
  <si>
    <t>16.84</t>
  </si>
  <si>
    <t>16.6</t>
  </si>
  <si>
    <t>51.81</t>
  </si>
  <si>
    <t>51.6</t>
  </si>
  <si>
    <t>5.13</t>
  </si>
  <si>
    <t>9.90</t>
  </si>
  <si>
    <t>30.95</t>
  </si>
  <si>
    <t>34.94</t>
  </si>
  <si>
    <t>8.17</t>
  </si>
  <si>
    <t>13.26</t>
  </si>
  <si>
    <t>44.64</t>
  </si>
  <si>
    <t>44.4</t>
  </si>
  <si>
    <t>1:43.80</t>
  </si>
  <si>
    <t>16.69</t>
  </si>
  <si>
    <t>16.87</t>
  </si>
  <si>
    <t>51.87</t>
  </si>
  <si>
    <t>5.12</t>
  </si>
  <si>
    <t>9.85</t>
  </si>
  <si>
    <t>10.16</t>
  </si>
  <si>
    <t>30.75</t>
  </si>
  <si>
    <t>34.80</t>
  </si>
  <si>
    <t>8.19</t>
  </si>
  <si>
    <t>44.70</t>
  </si>
  <si>
    <t>1:43.90</t>
  </si>
  <si>
    <t>16.90</t>
  </si>
  <si>
    <t>51.93</t>
  </si>
  <si>
    <t>51.7</t>
  </si>
  <si>
    <t>1.53</t>
  </si>
  <si>
    <t>9.80</t>
  </si>
  <si>
    <t>10.12</t>
  </si>
  <si>
    <t>30.55</t>
  </si>
  <si>
    <t>34.68</t>
  </si>
  <si>
    <t>8.20</t>
  </si>
  <si>
    <t>13.30</t>
  </si>
  <si>
    <t>44.75</t>
  </si>
  <si>
    <t>44.5</t>
  </si>
  <si>
    <t>1:44.00</t>
  </si>
  <si>
    <t>16.73</t>
  </si>
  <si>
    <t>16.92</t>
  </si>
  <si>
    <t>51.99</t>
  </si>
  <si>
    <t>5.11</t>
  </si>
  <si>
    <t>9.75</t>
  </si>
  <si>
    <t>10.08</t>
  </si>
  <si>
    <t>30.35</t>
  </si>
  <si>
    <t>34.56</t>
  </si>
  <si>
    <t>8.21</t>
  </si>
  <si>
    <t>Igrzyska Młodzieży Szkolnej</t>
  </si>
  <si>
    <t>IGRZYSKA  MŁODZIEŻY  SZKOLNEJ</t>
  </si>
  <si>
    <t>Glegoła Paulia</t>
  </si>
  <si>
    <t>Pietruszka Aleksandra</t>
  </si>
  <si>
    <t>Stańczyk Maja</t>
  </si>
  <si>
    <t>Wikalińska Maria</t>
  </si>
  <si>
    <t>SP14 Warszawa</t>
  </si>
  <si>
    <t>SP204 Warszawa</t>
  </si>
  <si>
    <t>Cisowska Lena</t>
  </si>
  <si>
    <t>Dasiewicz Barbara</t>
  </si>
  <si>
    <t>Kowalska Antonina</t>
  </si>
  <si>
    <t>Kowalska Maja</t>
  </si>
  <si>
    <t>Rogowska Maja</t>
  </si>
  <si>
    <t>Zarzycka Helena</t>
  </si>
  <si>
    <t>Gawor Maria</t>
  </si>
  <si>
    <t>Jakubowska Liliana</t>
  </si>
  <si>
    <t>Kąca Alicja</t>
  </si>
  <si>
    <t>Maj Amelia</t>
  </si>
  <si>
    <t>Piotrowska Iga</t>
  </si>
  <si>
    <t>Tyczyńska Lena</t>
  </si>
  <si>
    <t>SP2 Ostrów Maz.</t>
  </si>
  <si>
    <t>Burkiewicz Amelia</t>
  </si>
  <si>
    <t>Kołakowska Gabriela</t>
  </si>
  <si>
    <t>Paradukha Viktoria</t>
  </si>
  <si>
    <t>Wojsz Paulina</t>
  </si>
  <si>
    <t>Radgowska Maja</t>
  </si>
  <si>
    <t>SP2 Chorzele</t>
  </si>
  <si>
    <t>Furman Alicja</t>
  </si>
  <si>
    <t>Grabowska Maja</t>
  </si>
  <si>
    <t>Lubowiecka Nadia</t>
  </si>
  <si>
    <t>Szymańska Joanna</t>
  </si>
  <si>
    <t>Tłoczkowska Marta</t>
  </si>
  <si>
    <t>Woźniak Maja</t>
  </si>
  <si>
    <t>Borys Paulina</t>
  </si>
  <si>
    <t>Krzycka Joanna</t>
  </si>
  <si>
    <t>Obrębska Maja</t>
  </si>
  <si>
    <t>Wachowiak Maja</t>
  </si>
  <si>
    <t>Wolska Julia</t>
  </si>
  <si>
    <t>Zasowska Zofia</t>
  </si>
  <si>
    <t>SP2 Węgrów</t>
  </si>
  <si>
    <t>Zabadała Aleksandra</t>
  </si>
  <si>
    <t>Jachowicz Roksana</t>
  </si>
  <si>
    <t>Mikołajewska Iga</t>
  </si>
  <si>
    <t>Wąsożnik Zofia</t>
  </si>
  <si>
    <t>Wrzeszcz Anna</t>
  </si>
  <si>
    <t>Kmieć Zuzanna</t>
  </si>
  <si>
    <t>SP11 Siedlce</t>
  </si>
  <si>
    <t>Chromińska Maja</t>
  </si>
  <si>
    <t>Fiuk Julia</t>
  </si>
  <si>
    <t>Kowal Natalia</t>
  </si>
  <si>
    <t>Mościcka Gabriela</t>
  </si>
  <si>
    <t>Niedziółka Weronika</t>
  </si>
  <si>
    <t>Rytel Emilia</t>
  </si>
  <si>
    <t>SP Podkowa Leśna</t>
  </si>
  <si>
    <t>Bąbiak Gabriela</t>
  </si>
  <si>
    <t>Hajdenrach Antonina</t>
  </si>
  <si>
    <t>Kolenda Zofia</t>
  </si>
  <si>
    <t>Krutkowska Amelia</t>
  </si>
  <si>
    <t>Macutkiewicz Wiktoria</t>
  </si>
  <si>
    <t>Tryzno Alicja</t>
  </si>
  <si>
    <t>ZSP Lesznowola</t>
  </si>
  <si>
    <t>Brzezińska Kinga</t>
  </si>
  <si>
    <t>Marcisz Anna</t>
  </si>
  <si>
    <t>Mariańska Magdalena</t>
  </si>
  <si>
    <t>Pazio Zofia</t>
  </si>
  <si>
    <t>Przepiórka Julia</t>
  </si>
  <si>
    <t>Szablewska Lena</t>
  </si>
  <si>
    <t>SP3 Piaseczno</t>
  </si>
  <si>
    <t>Bany Monika</t>
  </si>
  <si>
    <t>Borysiuk Gaja</t>
  </si>
  <si>
    <t>Sołtan Amelia</t>
  </si>
  <si>
    <t>Szulc Amelia</t>
  </si>
  <si>
    <t>Wilczyńska Maria</t>
  </si>
  <si>
    <t>ZSP Jedlińsk</t>
  </si>
  <si>
    <t>Adamczyk Michalina</t>
  </si>
  <si>
    <t>Dobrowolska Nikola</t>
  </si>
  <si>
    <t>Gryz Amelia</t>
  </si>
  <si>
    <t>Walczak Łucja</t>
  </si>
  <si>
    <t>Żaczek Maja</t>
  </si>
  <si>
    <t>Żaczek Nikola</t>
  </si>
  <si>
    <t>Anielska Aleksandra</t>
  </si>
  <si>
    <t>Dłużewska Julia</t>
  </si>
  <si>
    <t>Spiechowicz Lidia</t>
  </si>
  <si>
    <t>PSP 2 Radom</t>
  </si>
  <si>
    <t>Niemyjska Aleksandra</t>
  </si>
  <si>
    <t>SP Bieniewice</t>
  </si>
</sst>
</file>

<file path=xl/styles.xml><?xml version="1.0" encoding="utf-8"?>
<styleSheet xmlns="http://schemas.openxmlformats.org/spreadsheetml/2006/main">
  <numFmts count="1">
    <numFmt numFmtId="166" formatCode="0.00000"/>
  </numFmts>
  <fonts count="52">
    <font>
      <sz val="10"/>
      <name val="Arial"/>
      <charset val="238"/>
    </font>
    <font>
      <b/>
      <sz val="11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 CE"/>
      <charset val="238"/>
    </font>
    <font>
      <b/>
      <sz val="13"/>
      <color indexed="8"/>
      <name val="Arial CE"/>
      <family val="2"/>
      <charset val="238"/>
    </font>
    <font>
      <b/>
      <sz val="10"/>
      <color indexed="4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name val="Arial"/>
      <family val="2"/>
      <charset val="238"/>
    </font>
    <font>
      <b/>
      <sz val="28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charset val="238"/>
    </font>
    <font>
      <sz val="12"/>
      <color indexed="8"/>
      <name val="Arial CE"/>
      <family val="2"/>
      <charset val="238"/>
    </font>
    <font>
      <sz val="12"/>
      <color indexed="18"/>
      <name val="Arial CE"/>
      <family val="2"/>
      <charset val="238"/>
    </font>
    <font>
      <sz val="12"/>
      <color indexed="9"/>
      <name val="Arial CE"/>
      <family val="2"/>
      <charset val="238"/>
    </font>
    <font>
      <sz val="10"/>
      <name val="Arial"/>
      <family val="2"/>
      <charset val="238"/>
    </font>
    <font>
      <sz val="12"/>
      <color indexed="8"/>
      <name val="Arial CE"/>
      <charset val="238"/>
    </font>
    <font>
      <u/>
      <sz val="8"/>
      <color indexed="12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4"/>
      <color indexed="6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2"/>
      <color indexed="20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24"/>
      </patternFill>
    </fill>
    <fill>
      <patternFill patternType="solid">
        <fgColor indexed="21"/>
        <bgColor indexed="24"/>
      </patternFill>
    </fill>
    <fill>
      <patternFill patternType="solid">
        <fgColor indexed="52"/>
        <bgColor indexed="24"/>
      </patternFill>
    </fill>
    <fill>
      <patternFill patternType="solid">
        <fgColor indexed="48"/>
        <bgColor indexed="24"/>
      </patternFill>
    </fill>
  </fills>
  <borders count="1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6" fillId="5" borderId="1" xfId="0" applyFont="1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7" borderId="2" xfId="0" applyFill="1" applyBorder="1"/>
    <xf numFmtId="0" fontId="8" fillId="9" borderId="0" xfId="1" applyFont="1" applyFill="1" applyAlignment="1" applyProtection="1"/>
    <xf numFmtId="1" fontId="0" fillId="6" borderId="0" xfId="0" applyNumberFormat="1" applyFill="1"/>
    <xf numFmtId="1" fontId="6" fillId="5" borderId="1" xfId="0" applyNumberFormat="1" applyFont="1" applyFill="1" applyBorder="1"/>
    <xf numFmtId="1" fontId="0" fillId="8" borderId="0" xfId="0" applyNumberFormat="1" applyFill="1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9" borderId="0" xfId="0" applyFill="1"/>
    <xf numFmtId="4" fontId="18" fillId="10" borderId="1" xfId="0" applyNumberFormat="1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4" fontId="23" fillId="10" borderId="1" xfId="0" applyNumberFormat="1" applyFont="1" applyFill="1" applyBorder="1" applyAlignment="1">
      <alignment horizontal="center"/>
    </xf>
    <xf numFmtId="2" fontId="23" fillId="1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2" fillId="0" borderId="3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1" fontId="26" fillId="4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9" borderId="0" xfId="0" applyFont="1" applyFill="1"/>
    <xf numFmtId="0" fontId="27" fillId="0" borderId="0" xfId="0" applyFont="1"/>
    <xf numFmtId="0" fontId="28" fillId="11" borderId="4" xfId="0" applyFont="1" applyFill="1" applyBorder="1" applyAlignment="1">
      <alignment horizontal="center" wrapText="1"/>
    </xf>
    <xf numFmtId="0" fontId="28" fillId="11" borderId="3" xfId="0" applyFont="1" applyFill="1" applyBorder="1" applyAlignment="1">
      <alignment horizontal="center" wrapText="1"/>
    </xf>
    <xf numFmtId="0" fontId="28" fillId="11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29" fillId="0" borderId="6" xfId="0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6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/>
    <xf numFmtId="0" fontId="0" fillId="0" borderId="6" xfId="0" applyBorder="1"/>
    <xf numFmtId="0" fontId="39" fillId="0" borderId="0" xfId="0" applyFont="1"/>
    <xf numFmtId="0" fontId="34" fillId="0" borderId="6" xfId="0" applyFont="1" applyBorder="1"/>
    <xf numFmtId="0" fontId="32" fillId="0" borderId="6" xfId="0" applyFont="1" applyBorder="1"/>
    <xf numFmtId="0" fontId="30" fillId="0" borderId="6" xfId="0" applyFont="1" applyBorder="1"/>
    <xf numFmtId="0" fontId="40" fillId="0" borderId="6" xfId="0" applyFont="1" applyBorder="1"/>
    <xf numFmtId="0" fontId="41" fillId="3" borderId="6" xfId="0" applyFont="1" applyFill="1" applyBorder="1"/>
    <xf numFmtId="0" fontId="12" fillId="0" borderId="0" xfId="0" applyFont="1" applyAlignment="1">
      <alignment horizontal="left"/>
    </xf>
    <xf numFmtId="0" fontId="4" fillId="10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6" fillId="0" borderId="0" xfId="0" applyFont="1"/>
    <xf numFmtId="1" fontId="48" fillId="0" borderId="6" xfId="0" applyNumberFormat="1" applyFont="1" applyBorder="1" applyAlignment="1">
      <alignment horizontal="center"/>
    </xf>
    <xf numFmtId="1" fontId="33" fillId="0" borderId="0" xfId="0" applyNumberFormat="1" applyFont="1"/>
    <xf numFmtId="0" fontId="33" fillId="0" borderId="0" xfId="0" applyFont="1"/>
    <xf numFmtId="2" fontId="48" fillId="0" borderId="6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33" fillId="9" borderId="0" xfId="0" applyFont="1" applyFill="1"/>
    <xf numFmtId="0" fontId="36" fillId="9" borderId="0" xfId="0" applyFont="1" applyFill="1"/>
    <xf numFmtId="0" fontId="10" fillId="0" borderId="6" xfId="0" applyFont="1" applyBorder="1" applyAlignment="1">
      <alignment horizontal="left"/>
    </xf>
    <xf numFmtId="0" fontId="36" fillId="9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/>
    <xf numFmtId="0" fontId="50" fillId="0" borderId="0" xfId="0" applyFont="1"/>
    <xf numFmtId="0" fontId="50" fillId="9" borderId="0" xfId="0" applyFont="1" applyFill="1"/>
    <xf numFmtId="0" fontId="39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45" fillId="13" borderId="6" xfId="0" applyFont="1" applyFill="1" applyBorder="1" applyAlignment="1">
      <alignment horizontal="left"/>
    </xf>
    <xf numFmtId="0" fontId="46" fillId="0" borderId="6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5" fillId="0" borderId="6" xfId="0" applyFont="1" applyBorder="1" applyAlignment="1">
      <alignment horizontal="left"/>
    </xf>
    <xf numFmtId="0" fontId="24" fillId="8" borderId="0" xfId="1" applyFont="1" applyFill="1" applyAlignment="1" applyProtection="1">
      <alignment horizontal="center"/>
    </xf>
    <xf numFmtId="0" fontId="3" fillId="8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4" fontId="19" fillId="14" borderId="1" xfId="0" applyNumberFormat="1" applyFont="1" applyFill="1" applyBorder="1" applyAlignment="1" applyProtection="1">
      <alignment horizontal="center"/>
      <protection locked="0"/>
    </xf>
    <xf numFmtId="0" fontId="21" fillId="15" borderId="1" xfId="0" applyFont="1" applyFill="1" applyBorder="1" applyAlignment="1">
      <alignment horizontal="center"/>
    </xf>
    <xf numFmtId="0" fontId="19" fillId="14" borderId="1" xfId="0" applyFont="1" applyFill="1" applyBorder="1" applyAlignment="1" applyProtection="1">
      <alignment horizontal="center"/>
      <protection locked="0"/>
    </xf>
    <xf numFmtId="2" fontId="19" fillId="14" borderId="1" xfId="0" applyNumberFormat="1" applyFont="1" applyFill="1" applyBorder="1" applyAlignment="1" applyProtection="1">
      <alignment horizontal="center"/>
      <protection locked="0"/>
    </xf>
    <xf numFmtId="0" fontId="20" fillId="16" borderId="1" xfId="0" applyFont="1" applyFill="1" applyBorder="1" applyAlignment="1">
      <alignment horizontal="center"/>
    </xf>
    <xf numFmtId="0" fontId="21" fillId="17" borderId="1" xfId="0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4" fillId="0" borderId="6" xfId="0" applyFont="1" applyBorder="1" applyAlignment="1">
      <alignment horizontal="left"/>
    </xf>
    <xf numFmtId="0" fontId="35" fillId="0" borderId="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0" fillId="0" borderId="6" xfId="0" applyBorder="1" applyProtection="1">
      <protection locked="0"/>
    </xf>
    <xf numFmtId="0" fontId="27" fillId="9" borderId="8" xfId="0" applyFont="1" applyFill="1" applyBorder="1" applyAlignment="1">
      <alignment horizontal="center"/>
    </xf>
    <xf numFmtId="0" fontId="50" fillId="0" borderId="0" xfId="0" applyFont="1" applyProtection="1">
      <protection locked="0"/>
    </xf>
    <xf numFmtId="0" fontId="27" fillId="9" borderId="8" xfId="0" applyFont="1" applyFill="1" applyBorder="1"/>
    <xf numFmtId="2" fontId="2" fillId="0" borderId="0" xfId="0" applyNumberFormat="1" applyFont="1" applyAlignment="1">
      <alignment horizontal="center" wrapText="1"/>
    </xf>
    <xf numFmtId="0" fontId="44" fillId="0" borderId="9" xfId="0" applyFont="1" applyBorder="1" applyAlignment="1">
      <alignment horizontal="center"/>
    </xf>
    <xf numFmtId="0" fontId="16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37" fillId="0" borderId="9" xfId="0" applyFont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152400</xdr:rowOff>
    </xdr:from>
    <xdr:to>
      <xdr:col>8</xdr:col>
      <xdr:colOff>323850</xdr:colOff>
      <xdr:row>4</xdr:row>
      <xdr:rowOff>152400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333375" y="400050"/>
          <a:ext cx="12192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60 m</a:t>
          </a:r>
        </a:p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dziewczęta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114300</xdr:rowOff>
    </xdr:from>
    <xdr:to>
      <xdr:col>7</xdr:col>
      <xdr:colOff>447675</xdr:colOff>
      <xdr:row>4</xdr:row>
      <xdr:rowOff>104775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247650" y="352425"/>
          <a:ext cx="142875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P. Pal</a:t>
          </a:r>
        </a:p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dziewczęta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152400</xdr:rowOff>
    </xdr:from>
    <xdr:to>
      <xdr:col>8</xdr:col>
      <xdr:colOff>409575</xdr:colOff>
      <xdr:row>4</xdr:row>
      <xdr:rowOff>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266700" y="400050"/>
          <a:ext cx="13716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Skok wzwyż</a:t>
          </a:r>
        </a:p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dziewczęta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200025</xdr:rowOff>
    </xdr:from>
    <xdr:to>
      <xdr:col>8</xdr:col>
      <xdr:colOff>514350</xdr:colOff>
      <xdr:row>3</xdr:row>
      <xdr:rowOff>114300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123825" y="447675"/>
          <a:ext cx="161925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 Skok w dal</a:t>
          </a:r>
        </a:p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dziewczęta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142875</xdr:rowOff>
    </xdr:from>
    <xdr:to>
      <xdr:col>8</xdr:col>
      <xdr:colOff>847725</xdr:colOff>
      <xdr:row>4</xdr:row>
      <xdr:rowOff>123825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266700" y="381000"/>
          <a:ext cx="1828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600 m</a:t>
          </a:r>
        </a:p>
        <a:p>
          <a:pPr algn="ctr" rtl="0"/>
          <a:r>
            <a:rPr lang="pl-PL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dziewczęta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152400</xdr:rowOff>
    </xdr:from>
    <xdr:to>
      <xdr:col>8</xdr:col>
      <xdr:colOff>304800</xdr:colOff>
      <xdr:row>7</xdr:row>
      <xdr:rowOff>0</xdr:rowOff>
    </xdr:to>
    <xdr:sp macro="" textlink="">
      <xdr:nvSpPr>
        <xdr:cNvPr id="8198" name="WordArt 6"/>
        <xdr:cNvSpPr>
          <a:spLocks noChangeArrowheads="1" noChangeShapeType="1" noTextEdit="1"/>
        </xdr:cNvSpPr>
      </xdr:nvSpPr>
      <xdr:spPr bwMode="auto">
        <a:xfrm>
          <a:off x="123825" y="142875"/>
          <a:ext cx="14097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Czwórbój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 indywidyalnie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dziewczęta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238125</xdr:rowOff>
    </xdr:from>
    <xdr:to>
      <xdr:col>5</xdr:col>
      <xdr:colOff>1638300</xdr:colOff>
      <xdr:row>3</xdr:row>
      <xdr:rowOff>200025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381000" y="228600"/>
          <a:ext cx="20193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 DZIEŃ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dziewczęta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200025</xdr:rowOff>
    </xdr:from>
    <xdr:to>
      <xdr:col>1</xdr:col>
      <xdr:colOff>0</xdr:colOff>
      <xdr:row>6</xdr:row>
      <xdr:rowOff>47625</xdr:rowOff>
    </xdr:to>
    <xdr:sp macro="" textlink="">
      <xdr:nvSpPr>
        <xdr:cNvPr id="7169" name="WordArt 1"/>
        <xdr:cNvSpPr>
          <a:spLocks noChangeArrowheads="1" noChangeShapeType="1" noTextEdit="1"/>
        </xdr:cNvSpPr>
      </xdr:nvSpPr>
      <xdr:spPr bwMode="auto">
        <a:xfrm>
          <a:off x="2009775" y="190500"/>
          <a:ext cx="0" cy="1200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Klasyfikacja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końcowa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dziewczęta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 dnia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(5 zawodników)</a:t>
          </a:r>
        </a:p>
      </xdr:txBody>
    </xdr:sp>
    <xdr:clientData/>
  </xdr:twoCellAnchor>
  <xdr:twoCellAnchor>
    <xdr:from>
      <xdr:col>0</xdr:col>
      <xdr:colOff>171450</xdr:colOff>
      <xdr:row>1</xdr:row>
      <xdr:rowOff>180975</xdr:rowOff>
    </xdr:from>
    <xdr:to>
      <xdr:col>0</xdr:col>
      <xdr:colOff>1885950</xdr:colOff>
      <xdr:row>4</xdr:row>
      <xdr:rowOff>161925</xdr:rowOff>
    </xdr:to>
    <xdr:sp macro="" textlink="">
      <xdr:nvSpPr>
        <xdr:cNvPr id="7171" name="WordArt 3"/>
        <xdr:cNvSpPr>
          <a:spLocks noChangeArrowheads="1" noChangeShapeType="1" noTextEdit="1"/>
        </xdr:cNvSpPr>
      </xdr:nvSpPr>
      <xdr:spPr bwMode="auto">
        <a:xfrm>
          <a:off x="171450" y="419100"/>
          <a:ext cx="17621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II DZIEŃ</a:t>
          </a:r>
        </a:p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dziewczęta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133"/>
  <sheetViews>
    <sheetView showGridLines="0" zoomScaleNormal="100" workbookViewId="0">
      <selection activeCell="C10" sqref="C10"/>
    </sheetView>
  </sheetViews>
  <sheetFormatPr defaultRowHeight="12.75"/>
  <cols>
    <col min="1" max="4" width="32.7109375" style="99" customWidth="1"/>
    <col min="5" max="5" width="27.85546875" customWidth="1"/>
  </cols>
  <sheetData>
    <row r="1" spans="1:22" ht="25.5" customHeight="1" thickBot="1">
      <c r="A1" s="123" t="s">
        <v>1707</v>
      </c>
      <c r="B1" s="123"/>
      <c r="C1" s="123"/>
      <c r="D1" s="12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4.25" thickTop="1" thickBot="1">
      <c r="A2" s="97" t="s">
        <v>2874</v>
      </c>
      <c r="B2" s="97" t="s">
        <v>2875</v>
      </c>
      <c r="C2" s="97" t="s">
        <v>2951</v>
      </c>
      <c r="D2" s="97" t="s">
        <v>2888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75" thickTop="1" thickBot="1">
      <c r="A3" s="98" t="s">
        <v>2948</v>
      </c>
      <c r="B3" s="98" t="s">
        <v>2876</v>
      </c>
      <c r="C3" s="98" t="s">
        <v>2882</v>
      </c>
      <c r="D3" s="98" t="s">
        <v>2889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75" thickTop="1" thickBot="1">
      <c r="A4" s="98" t="s">
        <v>2949</v>
      </c>
      <c r="B4" s="98" t="s">
        <v>2877</v>
      </c>
      <c r="C4" s="98" t="s">
        <v>2883</v>
      </c>
      <c r="D4" s="98" t="s">
        <v>2890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75" thickTop="1" thickBot="1">
      <c r="A5" s="98" t="s">
        <v>2870</v>
      </c>
      <c r="B5" s="98" t="s">
        <v>2878</v>
      </c>
      <c r="C5" s="98" t="s">
        <v>2884</v>
      </c>
      <c r="D5" s="98" t="s">
        <v>2952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.75" thickTop="1" thickBot="1">
      <c r="A6" s="98" t="s">
        <v>2871</v>
      </c>
      <c r="B6" s="98" t="s">
        <v>2879</v>
      </c>
      <c r="C6" s="98" t="s">
        <v>2885</v>
      </c>
      <c r="D6" s="98" t="s">
        <v>2891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thickTop="1" thickBot="1">
      <c r="A7" s="98" t="s">
        <v>2872</v>
      </c>
      <c r="B7" s="98" t="s">
        <v>2880</v>
      </c>
      <c r="C7" s="98" t="s">
        <v>2886</v>
      </c>
      <c r="D7" s="98" t="s">
        <v>2892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thickTop="1" thickBot="1">
      <c r="A8" s="98" t="s">
        <v>2873</v>
      </c>
      <c r="B8" s="98" t="s">
        <v>2881</v>
      </c>
      <c r="C8" s="98" t="s">
        <v>2887</v>
      </c>
      <c r="D8" s="98" t="s">
        <v>2893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 thickTop="1" thickBot="1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 thickTop="1" thickBot="1">
      <c r="A10" s="97" t="s">
        <v>2894</v>
      </c>
      <c r="B10" s="97" t="s">
        <v>2953</v>
      </c>
      <c r="C10" s="97" t="s">
        <v>2907</v>
      </c>
      <c r="D10" s="97" t="s">
        <v>2914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thickTop="1" thickBot="1">
      <c r="A11" s="98" t="s">
        <v>2895</v>
      </c>
      <c r="B11" s="98" t="s">
        <v>2901</v>
      </c>
      <c r="C11" s="98" t="s">
        <v>2908</v>
      </c>
      <c r="D11" s="98" t="s">
        <v>2915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75" thickTop="1" thickBot="1">
      <c r="A12" s="98" t="s">
        <v>2896</v>
      </c>
      <c r="B12" s="98" t="s">
        <v>2902</v>
      </c>
      <c r="C12" s="98" t="s">
        <v>2909</v>
      </c>
      <c r="D12" s="98" t="s">
        <v>2916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75" thickTop="1" thickBot="1">
      <c r="A13" s="98" t="s">
        <v>2897</v>
      </c>
      <c r="B13" s="98" t="s">
        <v>2903</v>
      </c>
      <c r="C13" s="98" t="s">
        <v>2910</v>
      </c>
      <c r="D13" s="98" t="s">
        <v>2917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thickTop="1" thickBot="1">
      <c r="A14" s="98" t="s">
        <v>2898</v>
      </c>
      <c r="B14" s="98" t="s">
        <v>2904</v>
      </c>
      <c r="C14" s="98" t="s">
        <v>2911</v>
      </c>
      <c r="D14" s="98" t="s">
        <v>2918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.75" thickTop="1" thickBot="1">
      <c r="A15" s="98" t="s">
        <v>2899</v>
      </c>
      <c r="B15" s="98" t="s">
        <v>2905</v>
      </c>
      <c r="C15" s="98" t="s">
        <v>2912</v>
      </c>
      <c r="D15" s="98" t="s">
        <v>2919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thickTop="1" thickBot="1">
      <c r="A16" s="98" t="s">
        <v>2900</v>
      </c>
      <c r="B16" s="98" t="s">
        <v>2906</v>
      </c>
      <c r="C16" s="98" t="s">
        <v>2913</v>
      </c>
      <c r="D16" s="98" t="s">
        <v>2920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 thickTop="1" thickBot="1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 thickTop="1" thickBot="1">
      <c r="A18" s="97" t="s">
        <v>2921</v>
      </c>
      <c r="B18" s="97" t="s">
        <v>2928</v>
      </c>
      <c r="C18" s="97" t="s">
        <v>2935</v>
      </c>
      <c r="D18" s="97" t="s">
        <v>2941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thickTop="1" thickBot="1">
      <c r="A19" s="98" t="s">
        <v>2922</v>
      </c>
      <c r="B19" s="98" t="s">
        <v>2929</v>
      </c>
      <c r="C19" s="98" t="s">
        <v>2936</v>
      </c>
      <c r="D19" s="98" t="s">
        <v>2942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thickTop="1" thickBot="1">
      <c r="A20" s="98" t="s">
        <v>2923</v>
      </c>
      <c r="B20" s="98" t="s">
        <v>2930</v>
      </c>
      <c r="C20" s="98" t="s">
        <v>2937</v>
      </c>
      <c r="D20" s="98" t="s">
        <v>2943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thickTop="1" thickBot="1">
      <c r="A21" s="98" t="s">
        <v>2924</v>
      </c>
      <c r="B21" s="98" t="s">
        <v>2931</v>
      </c>
      <c r="C21" s="98" t="s">
        <v>2938</v>
      </c>
      <c r="D21" s="98" t="s">
        <v>2944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75" thickTop="1" thickBot="1">
      <c r="A22" s="98" t="s">
        <v>2925</v>
      </c>
      <c r="B22" s="98" t="s">
        <v>2932</v>
      </c>
      <c r="C22" s="98" t="s">
        <v>2950</v>
      </c>
      <c r="D22" s="98" t="s">
        <v>2945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75" thickTop="1" thickBot="1">
      <c r="A23" s="98" t="s">
        <v>2926</v>
      </c>
      <c r="B23" s="98" t="s">
        <v>2933</v>
      </c>
      <c r="C23" s="98" t="s">
        <v>2939</v>
      </c>
      <c r="D23" s="98" t="s">
        <v>2946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75" thickTop="1" thickBot="1">
      <c r="A24" s="98" t="s">
        <v>2927</v>
      </c>
      <c r="B24" s="98" t="s">
        <v>2934</v>
      </c>
      <c r="C24" s="98" t="s">
        <v>2940</v>
      </c>
      <c r="D24" s="98" t="s">
        <v>2947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25" thickTop="1" thickBot="1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25" thickTop="1" thickBot="1">
      <c r="A26" s="97"/>
      <c r="B26" s="97"/>
      <c r="C26" s="97"/>
      <c r="D26" s="9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 thickTop="1" thickBot="1">
      <c r="A27" s="98"/>
      <c r="B27" s="98"/>
      <c r="C27" s="98"/>
      <c r="D27" s="9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.75" thickTop="1" thickBot="1">
      <c r="A28" s="98"/>
      <c r="B28" s="98"/>
      <c r="C28" s="98"/>
      <c r="D28" s="9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.75" thickTop="1" thickBot="1">
      <c r="A29" s="98"/>
      <c r="B29" s="98"/>
      <c r="C29" s="98"/>
      <c r="D29" s="9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75" thickTop="1" thickBot="1">
      <c r="A30" s="98"/>
      <c r="B30" s="98"/>
      <c r="C30" s="98"/>
      <c r="D30" s="9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.75" thickTop="1" thickBot="1">
      <c r="A31" s="98"/>
      <c r="B31" s="98"/>
      <c r="C31" s="98"/>
      <c r="D31" s="9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.75" thickTop="1" thickBot="1">
      <c r="A32" s="98"/>
      <c r="B32" s="98"/>
      <c r="C32" s="98"/>
      <c r="D32" s="9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4.25" thickTop="1" thickBo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4.25" thickTop="1" thickBot="1">
      <c r="A34" s="97"/>
      <c r="B34" s="97"/>
      <c r="C34" s="97"/>
      <c r="D34" s="9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.75" thickTop="1" thickBot="1">
      <c r="A35" s="98"/>
      <c r="B35" s="98"/>
      <c r="C35" s="98"/>
      <c r="D35" s="9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.75" thickTop="1" thickBot="1">
      <c r="A36" s="98"/>
      <c r="B36" s="98"/>
      <c r="C36" s="98"/>
      <c r="D36" s="9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.75" thickTop="1" thickBot="1">
      <c r="A37" s="98"/>
      <c r="B37" s="98"/>
      <c r="C37" s="98"/>
      <c r="D37" s="9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.75" thickTop="1" thickBot="1">
      <c r="A38" s="98"/>
      <c r="B38" s="98"/>
      <c r="C38" s="98"/>
      <c r="D38" s="9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.75" thickTop="1" thickBot="1">
      <c r="A39" s="98"/>
      <c r="B39" s="98"/>
      <c r="C39" s="98"/>
      <c r="D39" s="9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.75" thickTop="1" thickBot="1">
      <c r="A40" s="98"/>
      <c r="B40" s="98"/>
      <c r="C40" s="98"/>
      <c r="D40" s="9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4.25" thickTop="1" thickBot="1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4.25" thickTop="1" thickBot="1">
      <c r="A42" s="97"/>
      <c r="B42" s="97"/>
      <c r="C42" s="97"/>
      <c r="D42" s="9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.75" thickTop="1" thickBot="1">
      <c r="A43" s="98"/>
      <c r="B43" s="98"/>
      <c r="C43" s="98"/>
      <c r="D43" s="9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.75" thickTop="1" thickBot="1">
      <c r="A44" s="98"/>
      <c r="B44" s="98"/>
      <c r="C44" s="98"/>
      <c r="D44" s="9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75" thickTop="1" thickBot="1">
      <c r="A45" s="98"/>
      <c r="B45" s="98"/>
      <c r="C45" s="98"/>
      <c r="D45" s="9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thickTop="1" thickBot="1">
      <c r="A46" s="98"/>
      <c r="B46" s="98"/>
      <c r="C46" s="98"/>
      <c r="D46" s="9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.75" thickTop="1" thickBot="1">
      <c r="A47" s="98"/>
      <c r="B47" s="98"/>
      <c r="C47" s="98"/>
      <c r="D47" s="9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.75" thickTop="1" thickBot="1">
      <c r="A48" s="98"/>
      <c r="B48" s="98"/>
      <c r="C48" s="98"/>
      <c r="D48" s="9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4.25" thickTop="1" thickBo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4.25" thickTop="1" thickBot="1">
      <c r="A50" s="97"/>
      <c r="B50" s="97"/>
      <c r="C50" s="97"/>
      <c r="D50" s="9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.75" thickTop="1" thickBot="1">
      <c r="A51" s="98"/>
      <c r="B51" s="98"/>
      <c r="C51" s="98"/>
      <c r="D51" s="9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.75" thickTop="1" thickBot="1">
      <c r="A52" s="98"/>
      <c r="B52" s="98"/>
      <c r="C52" s="98"/>
      <c r="D52" s="9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.75" thickTop="1" thickBot="1">
      <c r="A53" s="98"/>
      <c r="B53" s="98"/>
      <c r="C53" s="98"/>
      <c r="D53" s="9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.75" thickTop="1" thickBot="1">
      <c r="A54" s="98"/>
      <c r="B54" s="98"/>
      <c r="C54" s="98"/>
      <c r="D54" s="9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.75" thickTop="1" thickBot="1">
      <c r="A55" s="98"/>
      <c r="B55" s="98"/>
      <c r="C55" s="98"/>
      <c r="D55" s="9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5.75" thickTop="1" thickBot="1">
      <c r="A56" s="98"/>
      <c r="B56" s="98"/>
      <c r="C56" s="98"/>
      <c r="D56" s="9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25" thickTop="1" thickBot="1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25" thickTop="1" thickBot="1">
      <c r="A58" s="97"/>
      <c r="B58" s="97"/>
      <c r="C58" s="97"/>
      <c r="D58" s="9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.75" thickTop="1" thickBot="1">
      <c r="A59" s="98"/>
      <c r="B59" s="98"/>
      <c r="C59" s="98"/>
      <c r="D59" s="9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.75" thickTop="1" thickBot="1">
      <c r="A60" s="98"/>
      <c r="B60" s="98"/>
      <c r="C60" s="98"/>
      <c r="D60" s="9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.75" thickTop="1" thickBot="1">
      <c r="A61" s="98"/>
      <c r="B61" s="98"/>
      <c r="C61" s="98"/>
      <c r="D61" s="9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.75" thickTop="1" thickBot="1">
      <c r="A62" s="98"/>
      <c r="B62" s="98"/>
      <c r="C62" s="98"/>
      <c r="D62" s="9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.75" thickTop="1" thickBot="1">
      <c r="A63" s="98"/>
      <c r="B63" s="98"/>
      <c r="C63" s="98"/>
      <c r="D63" s="9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.75" thickTop="1" thickBot="1">
      <c r="A64" s="98"/>
      <c r="B64" s="98"/>
      <c r="C64" s="98"/>
      <c r="D64" s="9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 thickTop="1" thickBot="1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 thickTop="1" thickBot="1">
      <c r="A66" s="97"/>
      <c r="B66" s="97"/>
      <c r="C66" s="97"/>
      <c r="D66" s="9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.75" thickTop="1" thickBot="1">
      <c r="A67" s="98"/>
      <c r="B67" s="98"/>
      <c r="C67" s="98"/>
      <c r="D67" s="9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.75" thickTop="1" thickBot="1">
      <c r="A68" s="98"/>
      <c r="B68" s="98"/>
      <c r="C68" s="98"/>
      <c r="D68" s="9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5.75" thickTop="1" thickBot="1">
      <c r="A69" s="98"/>
      <c r="B69" s="98"/>
      <c r="C69" s="98"/>
      <c r="D69" s="9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5.75" thickTop="1" thickBot="1">
      <c r="A70" s="98"/>
      <c r="B70" s="98"/>
      <c r="C70" s="98"/>
      <c r="D70" s="9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.75" thickTop="1" thickBot="1">
      <c r="A71" s="98"/>
      <c r="B71" s="98"/>
      <c r="C71" s="98"/>
      <c r="D71" s="9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.75" thickTop="1" thickBot="1">
      <c r="A72" s="98"/>
      <c r="B72" s="98"/>
      <c r="C72" s="98"/>
      <c r="D72" s="9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 thickTop="1" thickBo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25" thickTop="1" thickBot="1">
      <c r="A74" s="100"/>
      <c r="B74" s="100"/>
      <c r="C74" s="100"/>
      <c r="D74" s="100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5.75" thickTop="1" thickBot="1">
      <c r="A75" s="98"/>
      <c r="B75" s="98"/>
      <c r="C75" s="98"/>
      <c r="D75" s="9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5.75" thickTop="1" thickBot="1">
      <c r="A76" s="98"/>
      <c r="B76" s="98"/>
      <c r="C76" s="98"/>
      <c r="D76" s="9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.75" thickTop="1" thickBot="1">
      <c r="A77" s="98"/>
      <c r="B77" s="98"/>
      <c r="C77" s="98"/>
      <c r="D77" s="9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5.75" thickTop="1" thickBot="1">
      <c r="A78" s="98"/>
      <c r="B78" s="98"/>
      <c r="C78" s="98"/>
      <c r="D78" s="9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.75" thickTop="1" thickBot="1">
      <c r="A79" s="98"/>
      <c r="B79" s="98"/>
      <c r="C79" s="98"/>
      <c r="D79" s="9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.75" thickTop="1" thickBot="1">
      <c r="A80" s="98"/>
      <c r="B80" s="98"/>
      <c r="C80" s="98"/>
      <c r="D80" s="9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5:22" ht="13.5" thickTop="1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5:22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5:22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5:22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5:22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5:22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5:22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5:22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5:22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5:22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5:22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5:22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5:22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5:22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5:22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5:22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5:22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5:22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5:22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5:22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5:22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5:22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5:22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5:22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5:22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5:22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5:22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5:22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5:22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5:22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5:22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5:22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5:22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5:22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5:22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5:22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5:22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5:22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5:22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5:22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5:22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5:22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5:22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5:22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5:22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5:22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5:22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5:22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5:22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5:22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5:22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5:22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5:22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</sheetData>
  <mergeCells count="1">
    <mergeCell ref="A1:D1"/>
  </mergeCells>
  <phoneticPr fontId="3" type="noConversion"/>
  <pageMargins left="0.75" right="0.75" top="0.49" bottom="0.49" header="0.5" footer="0.5"/>
  <pageSetup paperSize="9" orientation="landscape" horizontalDpi="300" verticalDpi="300" r:id="rId1"/>
  <headerFooter alignWithMargins="0"/>
  <rowBreaks count="2" manualBreakCount="2">
    <brk id="32" max="3" man="1"/>
    <brk id="6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AI305"/>
  <sheetViews>
    <sheetView showGridLines="0" zoomScaleNormal="100" zoomScaleSheetLayoutView="100" workbookViewId="0">
      <selection activeCell="G1" sqref="G1"/>
    </sheetView>
  </sheetViews>
  <sheetFormatPr defaultRowHeight="12.75"/>
  <cols>
    <col min="1" max="1" width="30.140625" style="91" customWidth="1"/>
    <col min="2" max="4" width="0" hidden="1" customWidth="1"/>
    <col min="5" max="5" width="19" hidden="1" customWidth="1"/>
    <col min="6" max="6" width="22.5703125" hidden="1" customWidth="1"/>
    <col min="7" max="7" width="11.42578125" style="76" bestFit="1" customWidth="1"/>
    <col min="8" max="8" width="14" style="79" bestFit="1" customWidth="1"/>
    <col min="10" max="10" width="36.5703125" style="87" customWidth="1"/>
    <col min="11" max="11" width="0" style="31" hidden="1" customWidth="1"/>
    <col min="12" max="12" width="14.42578125" style="31" hidden="1" customWidth="1"/>
    <col min="13" max="14" width="4" style="31" hidden="1" customWidth="1"/>
    <col min="15" max="15" width="4.5703125" style="31" bestFit="1" customWidth="1"/>
    <col min="16" max="17" width="9.140625" style="31"/>
    <col min="18" max="18" width="5.28515625" style="31" bestFit="1" customWidth="1"/>
    <col min="19" max="19" width="9.140625" style="31"/>
    <col min="20" max="20" width="19.85546875" style="31" hidden="1" customWidth="1"/>
  </cols>
  <sheetData>
    <row r="1" spans="2:35" ht="19.5" thickTop="1" thickBot="1">
      <c r="G1" s="66" t="s">
        <v>1722</v>
      </c>
      <c r="H1" s="65" t="s">
        <v>2062</v>
      </c>
      <c r="I1" s="66"/>
      <c r="J1" s="66" t="s">
        <v>1721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2:35" ht="17.25" thickTop="1" thickBot="1">
      <c r="B2" s="17">
        <f>wyniki!O13</f>
        <v>1127</v>
      </c>
      <c r="C2">
        <v>1.0000000000000001E-5</v>
      </c>
      <c r="D2">
        <f>B2+C2</f>
        <v>1127.00001</v>
      </c>
      <c r="E2" t="str">
        <f>wyniki!A7</f>
        <v>SP14 Warszawa</v>
      </c>
      <c r="G2" s="39">
        <v>1</v>
      </c>
      <c r="H2" s="77">
        <f>LARGE($D$2:$D$41,1)</f>
        <v>1373.0000199999999</v>
      </c>
      <c r="I2" s="69">
        <f>MATCH(H2,$D$2:$D$41,0)</f>
        <v>2</v>
      </c>
      <c r="J2" s="85" t="str">
        <f>INDEX($D$2:$E$41,I2,2)</f>
        <v>SP204 Warszawa</v>
      </c>
      <c r="K2" s="30"/>
      <c r="L2" s="30" t="s">
        <v>1703</v>
      </c>
      <c r="M2" s="30" t="e">
        <f>MATCH(L2,wyniki!$A:$A,0)+1</f>
        <v>#N/A</v>
      </c>
      <c r="N2" s="30">
        <v>8</v>
      </c>
      <c r="O2" s="119" t="s">
        <v>1710</v>
      </c>
      <c r="P2" s="119" t="s">
        <v>1709</v>
      </c>
      <c r="Q2" s="119"/>
      <c r="R2" s="119" t="s">
        <v>1708</v>
      </c>
      <c r="S2" s="119" t="s">
        <v>1724</v>
      </c>
      <c r="T2" s="30">
        <f>INDEX(nazwy_wojewodztw!$A$1:$B$40,I2,1)</f>
        <v>0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2:35" ht="17.25" thickTop="1" thickBot="1">
      <c r="B3" s="17">
        <f>wyniki!O20</f>
        <v>1373</v>
      </c>
      <c r="C3">
        <v>2.0000000000000002E-5</v>
      </c>
      <c r="D3">
        <f t="shared" ref="D3:D41" si="0">B3+C3</f>
        <v>1373.0000199999999</v>
      </c>
      <c r="E3" t="str">
        <f>wyniki!A14</f>
        <v>SP204 Warszawa</v>
      </c>
      <c r="G3" s="39">
        <v>2</v>
      </c>
      <c r="H3" s="77">
        <f>LARGE($D$2:$D$41,2)</f>
        <v>1330.00009</v>
      </c>
      <c r="I3" s="69">
        <f t="shared" ref="I3:I41" si="1">MATCH(H3,$D$2:$D$41,0)</f>
        <v>9</v>
      </c>
      <c r="J3" s="85" t="str">
        <f t="shared" ref="J3:J41" si="2">INDEX($D$2:$E$41,I3,2)</f>
        <v>SP Podkowa Leśna</v>
      </c>
      <c r="K3" s="30"/>
      <c r="L3" s="30">
        <v>0</v>
      </c>
      <c r="M3" s="30">
        <f>MATCH(L3,wyniki!$A:$A,0)+1</f>
        <v>92</v>
      </c>
      <c r="N3" s="30">
        <v>15</v>
      </c>
      <c r="O3" s="119"/>
      <c r="P3" s="119"/>
      <c r="Q3" s="119"/>
      <c r="R3" s="119"/>
      <c r="S3" s="119"/>
      <c r="T3" s="30">
        <f>INDEX(nazwy_wojewodztw!$A$1:$B$40,I3,1)</f>
        <v>0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2:35" ht="17.25" thickTop="1" thickBot="1">
      <c r="B4" s="17">
        <f>wyniki!O27</f>
        <v>943</v>
      </c>
      <c r="C4">
        <v>3.0000000000000001E-5</v>
      </c>
      <c r="D4">
        <f t="shared" si="0"/>
        <v>943.00003000000004</v>
      </c>
      <c r="E4" t="str">
        <f>wyniki!A21</f>
        <v>PSP 2 Radom</v>
      </c>
      <c r="G4" s="39">
        <v>3</v>
      </c>
      <c r="H4" s="77">
        <f>LARGE($D$2:$D$41,3)</f>
        <v>1282.0000500000001</v>
      </c>
      <c r="I4" s="69">
        <f t="shared" si="1"/>
        <v>5</v>
      </c>
      <c r="J4" s="85" t="str">
        <f t="shared" si="2"/>
        <v>SP2 Chorzele</v>
      </c>
      <c r="K4" s="30"/>
      <c r="L4" s="30">
        <v>0</v>
      </c>
      <c r="M4" s="30">
        <f>MATCH(L4,wyniki!$A:$A,0)+1</f>
        <v>92</v>
      </c>
      <c r="N4" s="30">
        <v>15</v>
      </c>
      <c r="O4" s="119"/>
      <c r="P4" s="119"/>
      <c r="Q4" s="119"/>
      <c r="R4" s="119"/>
      <c r="S4" s="119"/>
      <c r="T4" s="30">
        <f>INDEX(nazwy_wojewodztw!$A$1:$B$40,I4,1)</f>
        <v>0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2:35" ht="17.25" thickTop="1" thickBot="1">
      <c r="B5" s="17">
        <f>wyniki!O34</f>
        <v>1096</v>
      </c>
      <c r="C5">
        <v>4.0000000000000003E-5</v>
      </c>
      <c r="D5">
        <f t="shared" si="0"/>
        <v>1096.0000399999999</v>
      </c>
      <c r="E5" t="str">
        <f>wyniki!A28</f>
        <v>SP2 Ostrów Maz.</v>
      </c>
      <c r="G5" s="39">
        <v>4</v>
      </c>
      <c r="H5" s="77">
        <f>LARGE($D$2:$D$41,4)</f>
        <v>1269.00008</v>
      </c>
      <c r="I5" s="69">
        <f t="shared" si="1"/>
        <v>8</v>
      </c>
      <c r="J5" s="85" t="str">
        <f t="shared" si="2"/>
        <v>SP11 Siedlce</v>
      </c>
      <c r="K5" s="30"/>
      <c r="L5" s="30">
        <v>0</v>
      </c>
      <c r="M5" s="30">
        <f>MATCH(L5,wyniki!$A:$A,0)+1</f>
        <v>92</v>
      </c>
      <c r="N5" s="30">
        <v>15</v>
      </c>
      <c r="O5" s="119"/>
      <c r="P5" s="119"/>
      <c r="Q5" s="119"/>
      <c r="R5" s="119"/>
      <c r="S5" s="119"/>
      <c r="T5" s="30">
        <f>INDEX(nazwy_wojewodztw!$A$1:$B$40,I5,1)</f>
        <v>0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17.25" thickTop="1" thickBot="1">
      <c r="B6" s="17">
        <f>wyniki!O41</f>
        <v>1282</v>
      </c>
      <c r="C6">
        <v>5.0000000000000002E-5</v>
      </c>
      <c r="D6">
        <f t="shared" si="0"/>
        <v>1282.0000500000001</v>
      </c>
      <c r="E6" t="str">
        <f>wyniki!A35</f>
        <v>SP2 Chorzele</v>
      </c>
      <c r="G6" s="39">
        <v>5</v>
      </c>
      <c r="H6" s="77">
        <f>LARGE($D$2:$D$41,5)</f>
        <v>1252.0000700000001</v>
      </c>
      <c r="I6" s="69">
        <f t="shared" si="1"/>
        <v>7</v>
      </c>
      <c r="J6" s="85" t="str">
        <f t="shared" si="2"/>
        <v>SP2 Węgrów</v>
      </c>
      <c r="K6" s="30"/>
      <c r="L6" s="30">
        <v>0</v>
      </c>
      <c r="M6" s="30">
        <f>MATCH(L6,wyniki!$A:$A,0)+1</f>
        <v>92</v>
      </c>
      <c r="N6" s="30">
        <v>15</v>
      </c>
      <c r="O6" s="119"/>
      <c r="P6" s="119"/>
      <c r="Q6" s="119"/>
      <c r="R6" s="119"/>
      <c r="S6" s="119"/>
      <c r="T6" s="30">
        <f>INDEX(nazwy_wojewodztw!$A$1:$B$40,I6,1)</f>
        <v>0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2:35" ht="17.25" thickTop="1" thickBot="1">
      <c r="B7" s="17">
        <f>wyniki!O48</f>
        <v>1172</v>
      </c>
      <c r="C7">
        <v>6.0000000000000002E-5</v>
      </c>
      <c r="D7">
        <f t="shared" si="0"/>
        <v>1172.0000600000001</v>
      </c>
      <c r="E7" t="str">
        <f>wyniki!A42</f>
        <v>SP Bieniewice</v>
      </c>
      <c r="G7" s="39">
        <v>6</v>
      </c>
      <c r="H7" s="77">
        <f>LARGE($D$2:$D$41,6)</f>
        <v>1172.0000600000001</v>
      </c>
      <c r="I7" s="69">
        <f t="shared" si="1"/>
        <v>6</v>
      </c>
      <c r="J7" s="85" t="str">
        <f t="shared" si="2"/>
        <v>SP Bieniewice</v>
      </c>
      <c r="K7" s="30"/>
      <c r="L7" s="30">
        <v>0</v>
      </c>
      <c r="M7" s="30">
        <f>MATCH(L7,wyniki!$A:$A,0)+1</f>
        <v>92</v>
      </c>
      <c r="N7" s="30">
        <v>15</v>
      </c>
      <c r="O7" s="119"/>
      <c r="P7" s="119"/>
      <c r="Q7" s="119"/>
      <c r="R7" s="119"/>
      <c r="S7" s="119"/>
      <c r="T7" s="30">
        <f>INDEX(nazwy_wojewodztw!$A$1:$B$40,I7,1)</f>
        <v>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2:35" ht="17.25" thickTop="1" thickBot="1">
      <c r="B8" s="17">
        <f>wyniki!O55</f>
        <v>1252</v>
      </c>
      <c r="C8">
        <v>6.9999999999999994E-5</v>
      </c>
      <c r="D8">
        <f t="shared" si="0"/>
        <v>1252.0000700000001</v>
      </c>
      <c r="E8" t="str">
        <f>wyniki!A49</f>
        <v>SP2 Węgrów</v>
      </c>
      <c r="G8" s="39">
        <v>7</v>
      </c>
      <c r="H8" s="77">
        <f>LARGE($D$2:$D$41,7)</f>
        <v>1127.00001</v>
      </c>
      <c r="I8" s="69">
        <f t="shared" si="1"/>
        <v>1</v>
      </c>
      <c r="J8" s="85" t="str">
        <f t="shared" si="2"/>
        <v>SP14 Warszawa</v>
      </c>
      <c r="K8" s="30"/>
      <c r="L8" s="30">
        <v>0</v>
      </c>
      <c r="M8" s="30">
        <f>MATCH(L8,wyniki!$A:$A,0)+1</f>
        <v>92</v>
      </c>
      <c r="N8" s="30">
        <v>15</v>
      </c>
      <c r="O8" s="119"/>
      <c r="P8" s="119"/>
      <c r="Q8" s="119"/>
      <c r="R8" s="119"/>
      <c r="S8" s="119"/>
      <c r="T8" s="30">
        <f>INDEX(nazwy_wojewodztw!$A$1:$B$40,I8,1)</f>
        <v>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2:35" ht="17.25" thickTop="1" thickBot="1">
      <c r="B9" s="17">
        <f>wyniki!O62</f>
        <v>1269</v>
      </c>
      <c r="C9">
        <v>8.0000000000000007E-5</v>
      </c>
      <c r="D9">
        <f t="shared" si="0"/>
        <v>1269.00008</v>
      </c>
      <c r="E9" t="str">
        <f>wyniki!A56</f>
        <v>SP11 Siedlce</v>
      </c>
      <c r="G9" s="39">
        <v>8</v>
      </c>
      <c r="H9" s="77">
        <f>LARGE($D$2:$D$41,8)</f>
        <v>1101.0001199999999</v>
      </c>
      <c r="I9" s="69">
        <f t="shared" si="1"/>
        <v>12</v>
      </c>
      <c r="J9" s="85" t="str">
        <f t="shared" si="2"/>
        <v>ZSP Jedlińsk</v>
      </c>
      <c r="K9" s="30"/>
      <c r="L9" s="30">
        <v>0</v>
      </c>
      <c r="M9" s="30">
        <f>MATCH(L9,wyniki!$A:$A,0)+1</f>
        <v>92</v>
      </c>
      <c r="N9" s="30">
        <v>15</v>
      </c>
      <c r="O9" s="119"/>
      <c r="P9" s="119"/>
      <c r="Q9" s="119"/>
      <c r="R9" s="119"/>
      <c r="S9" s="119"/>
      <c r="T9" s="30">
        <f>INDEX(nazwy_wojewodztw!$A$1:$B$40,I9,1)</f>
        <v>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7.25" thickTop="1" thickBot="1">
      <c r="B10" s="17">
        <f>wyniki!O69</f>
        <v>1330</v>
      </c>
      <c r="C10">
        <v>9.0000000000000006E-5</v>
      </c>
      <c r="D10">
        <f t="shared" si="0"/>
        <v>1330.00009</v>
      </c>
      <c r="E10" t="str">
        <f>wyniki!A63</f>
        <v>SP Podkowa Leśna</v>
      </c>
      <c r="G10" s="39">
        <v>9</v>
      </c>
      <c r="H10" s="77">
        <f>LARGE($D$2:$D$41,9)</f>
        <v>1096.0000399999999</v>
      </c>
      <c r="I10" s="69">
        <f t="shared" si="1"/>
        <v>4</v>
      </c>
      <c r="J10" s="85" t="str">
        <f t="shared" si="2"/>
        <v>SP2 Ostrów Maz.</v>
      </c>
      <c r="K10" s="30"/>
      <c r="L10" s="30">
        <v>0</v>
      </c>
      <c r="M10" s="30">
        <f>MATCH(L10,wyniki!$A:$A,0)+1</f>
        <v>92</v>
      </c>
      <c r="N10" s="30">
        <v>15</v>
      </c>
      <c r="O10" s="119"/>
      <c r="P10" s="119"/>
      <c r="Q10" s="119"/>
      <c r="R10" s="119"/>
      <c r="S10" s="119"/>
      <c r="T10" s="30">
        <f>INDEX(nazwy_wojewodztw!$A$1:$B$40,I10,1)</f>
        <v>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5" ht="17.25" thickTop="1" thickBot="1">
      <c r="B11" s="17">
        <f>wyniki!O76</f>
        <v>876</v>
      </c>
      <c r="C11">
        <v>1E-4</v>
      </c>
      <c r="D11">
        <f t="shared" si="0"/>
        <v>876.00009999999997</v>
      </c>
      <c r="E11" t="str">
        <f>wyniki!A70</f>
        <v>ZSP Lesznowola</v>
      </c>
      <c r="G11" s="39">
        <v>10</v>
      </c>
      <c r="H11" s="77">
        <f>LARGE($D$2:$D$41,10)</f>
        <v>1018.0001099999999</v>
      </c>
      <c r="I11" s="69">
        <f t="shared" si="1"/>
        <v>11</v>
      </c>
      <c r="J11" s="85" t="str">
        <f t="shared" si="2"/>
        <v>SP3 Piaseczno</v>
      </c>
      <c r="K11" s="30"/>
      <c r="L11" s="30">
        <v>0</v>
      </c>
      <c r="M11" s="30">
        <f>MATCH(L11,wyniki!$A:$A,0)+1</f>
        <v>92</v>
      </c>
      <c r="N11" s="30">
        <v>15</v>
      </c>
      <c r="O11" s="119"/>
      <c r="P11" s="119"/>
      <c r="Q11" s="119"/>
      <c r="R11" s="119"/>
      <c r="S11" s="119"/>
      <c r="T11" s="30">
        <f>INDEX(nazwy_wojewodztw!$A$1:$B$40,I11,1)</f>
        <v>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2:35" ht="17.25" thickTop="1" thickBot="1">
      <c r="B12" s="17">
        <f>wyniki!O83</f>
        <v>1018</v>
      </c>
      <c r="C12">
        <v>1.1E-4</v>
      </c>
      <c r="D12">
        <f t="shared" si="0"/>
        <v>1018.0001099999999</v>
      </c>
      <c r="E12" t="str">
        <f>wyniki!A77</f>
        <v>SP3 Piaseczno</v>
      </c>
      <c r="G12" s="39">
        <v>11</v>
      </c>
      <c r="H12" s="77">
        <f>LARGE($D$2:$D$41,11)</f>
        <v>943.00003000000004</v>
      </c>
      <c r="I12" s="69">
        <f t="shared" si="1"/>
        <v>3</v>
      </c>
      <c r="J12" s="85" t="str">
        <f t="shared" si="2"/>
        <v>PSP 2 Radom</v>
      </c>
      <c r="K12" s="30"/>
      <c r="L12" s="30">
        <v>0</v>
      </c>
      <c r="M12" s="30">
        <f>MATCH(L12,wyniki!$A:$A,0)+1</f>
        <v>92</v>
      </c>
      <c r="N12" s="30">
        <v>15</v>
      </c>
      <c r="O12" s="119"/>
      <c r="P12" s="119"/>
      <c r="Q12" s="119"/>
      <c r="R12" s="119"/>
      <c r="S12" s="119"/>
      <c r="T12" s="30">
        <f>INDEX(nazwy_wojewodztw!$A$1:$B$40,I12,1)</f>
        <v>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2:35" ht="17.25" thickTop="1" thickBot="1">
      <c r="B13" s="17">
        <f>wyniki!O90</f>
        <v>1101</v>
      </c>
      <c r="C13">
        <v>1.2E-4</v>
      </c>
      <c r="D13">
        <f t="shared" si="0"/>
        <v>1101.0001199999999</v>
      </c>
      <c r="E13" t="str">
        <f>wyniki!A84</f>
        <v>ZSP Jedlińsk</v>
      </c>
      <c r="G13" s="39">
        <v>12</v>
      </c>
      <c r="H13" s="77">
        <f>LARGE($D$2:$D$41,12)</f>
        <v>876.00009999999997</v>
      </c>
      <c r="I13" s="69">
        <f t="shared" si="1"/>
        <v>10</v>
      </c>
      <c r="J13" s="85" t="str">
        <f t="shared" si="2"/>
        <v>ZSP Lesznowola</v>
      </c>
      <c r="K13" s="30"/>
      <c r="L13" s="30">
        <v>0</v>
      </c>
      <c r="M13" s="30">
        <f>MATCH(L13,wyniki!$A:$A,0)+1</f>
        <v>92</v>
      </c>
      <c r="N13" s="30">
        <v>15</v>
      </c>
      <c r="O13" s="119"/>
      <c r="P13" s="119"/>
      <c r="Q13" s="119"/>
      <c r="R13" s="119"/>
      <c r="S13" s="119"/>
      <c r="T13" s="30">
        <f>INDEX(nazwy_wojewodztw!$A$1:$B$40,I13,1)</f>
        <v>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2:35" ht="17.25" thickTop="1" thickBot="1">
      <c r="B14" s="17">
        <f>wyniki!O97</f>
        <v>0</v>
      </c>
      <c r="C14">
        <v>1.2999999999999999E-4</v>
      </c>
      <c r="D14">
        <f t="shared" si="0"/>
        <v>1.2999999999999999E-4</v>
      </c>
      <c r="E14">
        <f>wyniki!A91</f>
        <v>0</v>
      </c>
      <c r="G14" s="39">
        <v>13</v>
      </c>
      <c r="H14" s="77">
        <f>LARGE($D$2:$D$41,13)</f>
        <v>4.0000000000000002E-4</v>
      </c>
      <c r="I14" s="69">
        <f t="shared" si="1"/>
        <v>40</v>
      </c>
      <c r="J14" s="85">
        <f t="shared" si="2"/>
        <v>0</v>
      </c>
      <c r="K14" s="30"/>
      <c r="L14" s="30">
        <v>0</v>
      </c>
      <c r="M14" s="30">
        <f>MATCH(L14,wyniki!$A:$A,0)+1</f>
        <v>92</v>
      </c>
      <c r="N14" s="30">
        <v>15</v>
      </c>
      <c r="O14" s="119"/>
      <c r="P14" s="119"/>
      <c r="Q14" s="119"/>
      <c r="R14" s="119"/>
      <c r="S14" s="119"/>
      <c r="T14" s="30">
        <f>INDEX(nazwy_wojewodztw!$A$1:$B$40,I14,1)</f>
        <v>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7.25" thickTop="1" thickBot="1">
      <c r="B15" s="17">
        <f>wyniki!O104</f>
        <v>0</v>
      </c>
      <c r="C15">
        <v>1.3999999999999999E-4</v>
      </c>
      <c r="D15">
        <f t="shared" si="0"/>
        <v>1.3999999999999999E-4</v>
      </c>
      <c r="E15">
        <f>wyniki!A98</f>
        <v>0</v>
      </c>
      <c r="G15" s="39">
        <v>14</v>
      </c>
      <c r="H15" s="77">
        <f>LARGE($D$2:$D$41,14)</f>
        <v>3.8999999999999999E-4</v>
      </c>
      <c r="I15" s="69">
        <f t="shared" si="1"/>
        <v>39</v>
      </c>
      <c r="J15" s="85">
        <f t="shared" si="2"/>
        <v>0</v>
      </c>
      <c r="K15" s="30"/>
      <c r="L15" s="30">
        <v>0</v>
      </c>
      <c r="M15" s="30">
        <f>MATCH(L15,wyniki!$A:$A,0)+1</f>
        <v>92</v>
      </c>
      <c r="N15" s="30">
        <v>15</v>
      </c>
      <c r="O15" s="119"/>
      <c r="P15" s="119"/>
      <c r="Q15" s="119"/>
      <c r="R15" s="119"/>
      <c r="S15" s="119"/>
      <c r="T15" s="30">
        <f>INDEX(nazwy_wojewodztw!$A$1:$B$40,I15,1)</f>
        <v>0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7.25" thickTop="1" thickBot="1">
      <c r="B16" s="17">
        <f>wyniki!O111</f>
        <v>0</v>
      </c>
      <c r="C16">
        <v>1.4999999999999999E-4</v>
      </c>
      <c r="D16">
        <f t="shared" si="0"/>
        <v>1.4999999999999999E-4</v>
      </c>
      <c r="E16">
        <f>wyniki!A105</f>
        <v>0</v>
      </c>
      <c r="G16" s="39">
        <v>15</v>
      </c>
      <c r="H16" s="77">
        <f>LARGE($D$2:$D$41,15)</f>
        <v>3.8000000000000002E-4</v>
      </c>
      <c r="I16" s="69">
        <f t="shared" si="1"/>
        <v>38</v>
      </c>
      <c r="J16" s="85">
        <f t="shared" si="2"/>
        <v>0</v>
      </c>
      <c r="K16" s="30"/>
      <c r="L16" s="30">
        <v>0</v>
      </c>
      <c r="M16" s="30">
        <f>MATCH(L16,wyniki!$A:$A,0)+1</f>
        <v>92</v>
      </c>
      <c r="N16" s="30">
        <v>15</v>
      </c>
      <c r="O16" s="119"/>
      <c r="P16" s="119"/>
      <c r="Q16" s="119"/>
      <c r="R16" s="119"/>
      <c r="S16" s="119"/>
      <c r="T16" s="30">
        <f>INDEX(nazwy_wojewodztw!$A$1:$B$40,I16,1)</f>
        <v>0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35" ht="17.25" thickTop="1" thickBot="1">
      <c r="B17" s="17">
        <f>wyniki!O118</f>
        <v>0</v>
      </c>
      <c r="C17">
        <v>1.6000000000000001E-4</v>
      </c>
      <c r="D17">
        <f t="shared" si="0"/>
        <v>1.6000000000000001E-4</v>
      </c>
      <c r="E17">
        <f>wyniki!A112</f>
        <v>0</v>
      </c>
      <c r="G17" s="39">
        <v>16</v>
      </c>
      <c r="H17" s="77">
        <f>LARGE($D$2:$D$41,16)</f>
        <v>3.6999999999999999E-4</v>
      </c>
      <c r="I17" s="69">
        <f t="shared" si="1"/>
        <v>37</v>
      </c>
      <c r="J17" s="85">
        <f t="shared" si="2"/>
        <v>0</v>
      </c>
      <c r="K17" s="30"/>
      <c r="L17" s="30">
        <v>0</v>
      </c>
      <c r="M17" s="30">
        <f>MATCH(L17,wyniki!$A:$A,0)+1</f>
        <v>92</v>
      </c>
      <c r="N17" s="30">
        <v>15</v>
      </c>
      <c r="O17" s="119"/>
      <c r="P17" s="119"/>
      <c r="Q17" s="119"/>
      <c r="R17" s="119"/>
      <c r="S17" s="119"/>
      <c r="T17" s="30">
        <f>INDEX(nazwy_wojewodztw!$A$1:$B$40,I17,1)</f>
        <v>0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35" ht="17.25" thickTop="1" thickBot="1">
      <c r="B18" s="17">
        <f>wyniki!O125</f>
        <v>0</v>
      </c>
      <c r="C18">
        <v>1.7000000000000001E-4</v>
      </c>
      <c r="D18">
        <f t="shared" si="0"/>
        <v>1.7000000000000001E-4</v>
      </c>
      <c r="E18">
        <f>wyniki!A119</f>
        <v>0</v>
      </c>
      <c r="G18" s="39">
        <v>17</v>
      </c>
      <c r="H18" s="77">
        <f>LARGE($D$2:$D$41,17)</f>
        <v>3.6000000000000002E-4</v>
      </c>
      <c r="I18" s="69">
        <f t="shared" si="1"/>
        <v>36</v>
      </c>
      <c r="J18" s="85">
        <f t="shared" si="2"/>
        <v>0</v>
      </c>
      <c r="K18" s="30"/>
      <c r="L18" s="30">
        <v>0</v>
      </c>
      <c r="M18" s="30">
        <f>MATCH(L18,wyniki!$A:$A,0)+1</f>
        <v>92</v>
      </c>
      <c r="N18" s="30">
        <v>15</v>
      </c>
      <c r="O18" s="119"/>
      <c r="P18" s="119"/>
      <c r="Q18" s="119"/>
      <c r="R18" s="119"/>
      <c r="S18" s="119"/>
      <c r="T18" s="30">
        <f>INDEX(nazwy_wojewodztw!$A$1:$B$40,I18,1)</f>
        <v>0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35" ht="17.25" thickTop="1" thickBot="1">
      <c r="B19" s="17">
        <f>wyniki!O132</f>
        <v>0</v>
      </c>
      <c r="C19">
        <v>1.8000000000000001E-4</v>
      </c>
      <c r="D19">
        <f t="shared" si="0"/>
        <v>1.8000000000000001E-4</v>
      </c>
      <c r="E19">
        <f>wyniki!A126</f>
        <v>0</v>
      </c>
      <c r="G19" s="39">
        <v>18</v>
      </c>
      <c r="H19" s="77">
        <f>LARGE($D$2:$D$41,18)</f>
        <v>3.5E-4</v>
      </c>
      <c r="I19" s="69">
        <f t="shared" si="1"/>
        <v>35</v>
      </c>
      <c r="J19" s="85">
        <f t="shared" si="2"/>
        <v>0</v>
      </c>
      <c r="K19" s="30"/>
      <c r="L19" s="30">
        <v>0</v>
      </c>
      <c r="M19" s="30">
        <f>MATCH(L19,wyniki!$A:$A,0)+1</f>
        <v>92</v>
      </c>
      <c r="N19" s="30">
        <v>15</v>
      </c>
      <c r="O19" s="119"/>
      <c r="P19" s="119"/>
      <c r="Q19" s="119"/>
      <c r="R19" s="119"/>
      <c r="S19" s="119"/>
      <c r="T19" s="30">
        <f>INDEX(nazwy_wojewodztw!$A$1:$B$40,I19,1)</f>
        <v>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2:35" ht="17.25" thickTop="1" thickBot="1">
      <c r="B20" s="17">
        <f>wyniki!O139</f>
        <v>0</v>
      </c>
      <c r="C20">
        <v>1.9000000000000001E-4</v>
      </c>
      <c r="D20">
        <f t="shared" si="0"/>
        <v>1.9000000000000001E-4</v>
      </c>
      <c r="E20">
        <f>wyniki!A133</f>
        <v>0</v>
      </c>
      <c r="G20" s="39">
        <v>19</v>
      </c>
      <c r="H20" s="77">
        <f>LARGE($D$2:$D$41,19)</f>
        <v>3.4000000000000002E-4</v>
      </c>
      <c r="I20" s="69">
        <f t="shared" si="1"/>
        <v>34</v>
      </c>
      <c r="J20" s="85">
        <f t="shared" si="2"/>
        <v>0</v>
      </c>
      <c r="K20" s="30"/>
      <c r="L20" s="30">
        <v>0</v>
      </c>
      <c r="M20" s="30">
        <f>MATCH(L20,wyniki!$A:$A,0)+1</f>
        <v>92</v>
      </c>
      <c r="N20" s="30">
        <v>15</v>
      </c>
      <c r="O20" s="119"/>
      <c r="P20" s="119"/>
      <c r="Q20" s="119"/>
      <c r="R20" s="119"/>
      <c r="S20" s="119"/>
      <c r="T20" s="30">
        <f>INDEX(nazwy_wojewodztw!$A$1:$B$40,I20,1)</f>
        <v>0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2:35" ht="17.25" thickTop="1" thickBot="1">
      <c r="B21" s="17">
        <f>wyniki!O146</f>
        <v>0</v>
      </c>
      <c r="C21">
        <v>2.0000000000000001E-4</v>
      </c>
      <c r="D21">
        <f t="shared" si="0"/>
        <v>2.0000000000000001E-4</v>
      </c>
      <c r="E21">
        <f>wyniki!A140</f>
        <v>0</v>
      </c>
      <c r="G21" s="39">
        <v>20</v>
      </c>
      <c r="H21" s="77">
        <f>LARGE($D$2:$D$41,20)</f>
        <v>3.3E-4</v>
      </c>
      <c r="I21" s="69">
        <f t="shared" si="1"/>
        <v>33</v>
      </c>
      <c r="J21" s="85">
        <f t="shared" si="2"/>
        <v>0</v>
      </c>
      <c r="K21" s="30"/>
      <c r="L21" s="30">
        <v>0</v>
      </c>
      <c r="M21" s="30">
        <f>MATCH(L21,wyniki!$A:$A,0)+1</f>
        <v>92</v>
      </c>
      <c r="N21" s="30">
        <v>15</v>
      </c>
      <c r="O21" s="119"/>
      <c r="P21" s="119"/>
      <c r="Q21" s="119"/>
      <c r="R21" s="119"/>
      <c r="S21" s="119"/>
      <c r="T21" s="30">
        <f>INDEX(nazwy_wojewodztw!$A$1:$B$40,I21,1)</f>
        <v>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2:35" ht="17.25" thickTop="1" thickBot="1">
      <c r="B22" s="17">
        <f>wyniki!O153</f>
        <v>0</v>
      </c>
      <c r="C22">
        <v>2.1000000000000001E-4</v>
      </c>
      <c r="D22">
        <f t="shared" si="0"/>
        <v>2.1000000000000001E-4</v>
      </c>
      <c r="E22">
        <f>wyniki!A147</f>
        <v>0</v>
      </c>
      <c r="G22" s="39">
        <v>21</v>
      </c>
      <c r="H22" s="77">
        <f>LARGE($D$2:$D$41,21)</f>
        <v>3.2000000000000003E-4</v>
      </c>
      <c r="I22" s="69">
        <f t="shared" si="1"/>
        <v>32</v>
      </c>
      <c r="J22" s="85">
        <f t="shared" si="2"/>
        <v>0</v>
      </c>
      <c r="K22" s="30"/>
      <c r="L22" s="30">
        <v>0</v>
      </c>
      <c r="M22" s="30">
        <f>MATCH(L22,wyniki!$A:$A,0)+1</f>
        <v>92</v>
      </c>
      <c r="N22" s="30">
        <v>15</v>
      </c>
      <c r="O22" s="119"/>
      <c r="P22" s="119"/>
      <c r="Q22" s="119"/>
      <c r="R22" s="119"/>
      <c r="S22" s="119"/>
      <c r="T22" s="30">
        <f>INDEX(nazwy_wojewodztw!$A$1:$B$40,I22,1)</f>
        <v>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2:35" ht="17.25" thickTop="1" thickBot="1">
      <c r="B23" s="17">
        <f>wyniki!O160</f>
        <v>0</v>
      </c>
      <c r="C23">
        <v>2.2000000000000001E-4</v>
      </c>
      <c r="D23">
        <f t="shared" si="0"/>
        <v>2.2000000000000001E-4</v>
      </c>
      <c r="E23">
        <f>wyniki!A154</f>
        <v>0</v>
      </c>
      <c r="G23" s="39">
        <v>22</v>
      </c>
      <c r="H23" s="77">
        <f>LARGE($D$2:$D$41,22)</f>
        <v>3.1E-4</v>
      </c>
      <c r="I23" s="69">
        <f t="shared" si="1"/>
        <v>31</v>
      </c>
      <c r="J23" s="85">
        <f t="shared" si="2"/>
        <v>0</v>
      </c>
      <c r="K23" s="30"/>
      <c r="L23" s="30">
        <v>0</v>
      </c>
      <c r="M23" s="30">
        <f>MATCH(L23,wyniki!$A:$A,0)+1</f>
        <v>92</v>
      </c>
      <c r="N23" s="30">
        <v>15</v>
      </c>
      <c r="O23" s="119"/>
      <c r="P23" s="119"/>
      <c r="Q23" s="119"/>
      <c r="R23" s="119"/>
      <c r="S23" s="119"/>
      <c r="T23" s="30">
        <f>INDEX(nazwy_wojewodztw!$A$1:$B$40,I23,1)</f>
        <v>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2:35" ht="17.25" thickTop="1" thickBot="1">
      <c r="B24" s="17">
        <f>wyniki!O167</f>
        <v>0</v>
      </c>
      <c r="C24">
        <v>2.3000000000000001E-4</v>
      </c>
      <c r="D24">
        <f t="shared" si="0"/>
        <v>2.3000000000000001E-4</v>
      </c>
      <c r="E24">
        <f>wyniki!A161</f>
        <v>0</v>
      </c>
      <c r="G24" s="39">
        <v>23</v>
      </c>
      <c r="H24" s="77">
        <f>LARGE($D$2:$D$41,23)</f>
        <v>2.9999999999999997E-4</v>
      </c>
      <c r="I24" s="69">
        <f t="shared" si="1"/>
        <v>30</v>
      </c>
      <c r="J24" s="85">
        <f t="shared" si="2"/>
        <v>0</v>
      </c>
      <c r="K24" s="30"/>
      <c r="L24" s="30">
        <v>0</v>
      </c>
      <c r="M24" s="30">
        <f>MATCH(L24,wyniki!$A:$A,0)+1</f>
        <v>92</v>
      </c>
      <c r="N24" s="30">
        <v>15</v>
      </c>
      <c r="O24" s="119"/>
      <c r="P24" s="119"/>
      <c r="Q24" s="119"/>
      <c r="R24" s="119"/>
      <c r="S24" s="119"/>
      <c r="T24" s="30">
        <f>INDEX(nazwy_wojewodztw!$A$1:$B$40,I24,1)</f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7.25" thickTop="1" thickBot="1">
      <c r="B25" s="17">
        <f>wyniki!O174</f>
        <v>0</v>
      </c>
      <c r="C25">
        <v>2.4000000000000001E-4</v>
      </c>
      <c r="D25">
        <f t="shared" si="0"/>
        <v>2.4000000000000001E-4</v>
      </c>
      <c r="E25">
        <f>wyniki!A168</f>
        <v>0</v>
      </c>
      <c r="G25" s="39">
        <v>24</v>
      </c>
      <c r="H25" s="77">
        <f>LARGE($D$2:$D$41,24)</f>
        <v>2.9E-4</v>
      </c>
      <c r="I25" s="69">
        <f t="shared" si="1"/>
        <v>29</v>
      </c>
      <c r="J25" s="85">
        <f t="shared" si="2"/>
        <v>0</v>
      </c>
      <c r="K25" s="30"/>
      <c r="L25" s="30">
        <v>0</v>
      </c>
      <c r="M25" s="30">
        <f>MATCH(L25,wyniki!$A:$A,0)+1</f>
        <v>92</v>
      </c>
      <c r="N25" s="30">
        <v>15</v>
      </c>
      <c r="O25" s="119"/>
      <c r="P25" s="119"/>
      <c r="Q25" s="119"/>
      <c r="R25" s="119"/>
      <c r="S25" s="119"/>
      <c r="T25" s="30">
        <f>INDEX(nazwy_wojewodztw!$A$1:$B$40,I25,1)</f>
        <v>0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2:35" ht="17.25" thickTop="1" thickBot="1">
      <c r="B26" s="17">
        <f>wyniki!O181</f>
        <v>0</v>
      </c>
      <c r="C26">
        <v>2.5000000000000001E-4</v>
      </c>
      <c r="D26">
        <f t="shared" si="0"/>
        <v>2.5000000000000001E-4</v>
      </c>
      <c r="E26">
        <f>wyniki!A175</f>
        <v>0</v>
      </c>
      <c r="G26" s="39">
        <v>25</v>
      </c>
      <c r="H26" s="77">
        <f>LARGE($D$2:$D$41,25)</f>
        <v>2.7999999999999998E-4</v>
      </c>
      <c r="I26" s="69">
        <f t="shared" si="1"/>
        <v>28</v>
      </c>
      <c r="J26" s="85">
        <f t="shared" si="2"/>
        <v>0</v>
      </c>
      <c r="K26" s="30"/>
      <c r="L26" s="30">
        <v>0</v>
      </c>
      <c r="M26" s="30">
        <f>MATCH(L26,wyniki!$A:$A,0)+1</f>
        <v>92</v>
      </c>
      <c r="N26" s="30">
        <v>15</v>
      </c>
      <c r="O26" s="119"/>
      <c r="P26" s="119"/>
      <c r="Q26" s="119"/>
      <c r="R26" s="119"/>
      <c r="S26" s="119"/>
      <c r="T26" s="30">
        <f>INDEX(nazwy_wojewodztw!$A$1:$B$40,I26,1)</f>
        <v>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2:35" ht="17.25" thickTop="1" thickBot="1">
      <c r="B27" s="17">
        <f>wyniki!O188</f>
        <v>0</v>
      </c>
      <c r="C27">
        <v>2.5999999999999998E-4</v>
      </c>
      <c r="D27">
        <f t="shared" si="0"/>
        <v>2.5999999999999998E-4</v>
      </c>
      <c r="E27">
        <f>wyniki!A182</f>
        <v>0</v>
      </c>
      <c r="G27" s="39">
        <v>26</v>
      </c>
      <c r="H27" s="77">
        <f>LARGE($D$2:$D$41,26)</f>
        <v>2.7E-4</v>
      </c>
      <c r="I27" s="69">
        <f t="shared" si="1"/>
        <v>27</v>
      </c>
      <c r="J27" s="85">
        <f t="shared" si="2"/>
        <v>0</v>
      </c>
      <c r="K27" s="30"/>
      <c r="L27" s="30">
        <v>0</v>
      </c>
      <c r="M27" s="30">
        <f>MATCH(L27,wyniki!$A:$A,0)+1</f>
        <v>92</v>
      </c>
      <c r="N27" s="30">
        <v>15</v>
      </c>
      <c r="O27" s="119"/>
      <c r="P27" s="119"/>
      <c r="Q27" s="119"/>
      <c r="R27" s="119"/>
      <c r="S27" s="119"/>
      <c r="T27" s="30">
        <f>INDEX(nazwy_wojewodztw!$A$1:$B$40,I27,1)</f>
        <v>0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2:35" ht="17.25" thickTop="1" thickBot="1">
      <c r="B28" s="17">
        <f>wyniki!O195</f>
        <v>0</v>
      </c>
      <c r="C28">
        <v>2.7E-4</v>
      </c>
      <c r="D28">
        <f t="shared" si="0"/>
        <v>2.7E-4</v>
      </c>
      <c r="E28">
        <f>wyniki!A189</f>
        <v>0</v>
      </c>
      <c r="G28" s="39">
        <v>27</v>
      </c>
      <c r="H28" s="77">
        <f>LARGE($D$2:$D$41,27)</f>
        <v>2.5999999999999998E-4</v>
      </c>
      <c r="I28" s="69">
        <f t="shared" si="1"/>
        <v>26</v>
      </c>
      <c r="J28" s="85">
        <f t="shared" si="2"/>
        <v>0</v>
      </c>
      <c r="K28" s="30"/>
      <c r="L28" s="30">
        <v>0</v>
      </c>
      <c r="M28" s="30">
        <f>MATCH(L28,wyniki!$A:$A,0)+1</f>
        <v>92</v>
      </c>
      <c r="N28" s="30">
        <v>15</v>
      </c>
      <c r="O28" s="119"/>
      <c r="P28" s="119"/>
      <c r="Q28" s="119"/>
      <c r="R28" s="119"/>
      <c r="S28" s="119"/>
      <c r="T28" s="30">
        <f>INDEX(nazwy_wojewodztw!$A$1:$B$40,I28,1)</f>
        <v>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35" ht="17.25" thickTop="1" thickBot="1">
      <c r="B29" s="17">
        <f>wyniki!O202</f>
        <v>0</v>
      </c>
      <c r="C29">
        <v>2.7999999999999998E-4</v>
      </c>
      <c r="D29">
        <f t="shared" si="0"/>
        <v>2.7999999999999998E-4</v>
      </c>
      <c r="E29">
        <f>wyniki!A196</f>
        <v>0</v>
      </c>
      <c r="G29" s="39">
        <v>28</v>
      </c>
      <c r="H29" s="77">
        <f>LARGE($D$2:$D$41,28)</f>
        <v>2.5000000000000001E-4</v>
      </c>
      <c r="I29" s="69">
        <f t="shared" si="1"/>
        <v>25</v>
      </c>
      <c r="J29" s="85">
        <f t="shared" si="2"/>
        <v>0</v>
      </c>
      <c r="K29" s="30"/>
      <c r="L29" s="30">
        <v>0</v>
      </c>
      <c r="M29" s="30">
        <f>MATCH(L29,wyniki!$A:$A,0)+1</f>
        <v>92</v>
      </c>
      <c r="N29" s="30">
        <v>15</v>
      </c>
      <c r="O29" s="119"/>
      <c r="P29" s="119"/>
      <c r="Q29" s="119"/>
      <c r="R29" s="119"/>
      <c r="S29" s="119"/>
      <c r="T29" s="30">
        <f>INDEX(nazwy_wojewodztw!$A$1:$B$40,I29,1)</f>
        <v>0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2:35" ht="17.25" thickTop="1" thickBot="1">
      <c r="B30" s="17">
        <f>wyniki!O209</f>
        <v>0</v>
      </c>
      <c r="C30">
        <v>2.9E-4</v>
      </c>
      <c r="D30">
        <f t="shared" si="0"/>
        <v>2.9E-4</v>
      </c>
      <c r="E30">
        <f>wyniki!A203</f>
        <v>0</v>
      </c>
      <c r="G30" s="39">
        <v>29</v>
      </c>
      <c r="H30" s="77">
        <f>LARGE($D$2:$D$41,29)</f>
        <v>2.4000000000000001E-4</v>
      </c>
      <c r="I30" s="69">
        <f t="shared" si="1"/>
        <v>24</v>
      </c>
      <c r="J30" s="85">
        <f t="shared" si="2"/>
        <v>0</v>
      </c>
      <c r="K30" s="30"/>
      <c r="L30" s="30">
        <v>0</v>
      </c>
      <c r="M30" s="30">
        <f>MATCH(L30,wyniki!$A:$A,0)+1</f>
        <v>92</v>
      </c>
      <c r="N30" s="30">
        <v>15</v>
      </c>
      <c r="O30" s="119"/>
      <c r="P30" s="119"/>
      <c r="Q30" s="119"/>
      <c r="R30" s="119"/>
      <c r="S30" s="119"/>
      <c r="T30" s="30">
        <f>INDEX(nazwy_wojewodztw!$A$1:$B$40,I30,1)</f>
        <v>0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2:35" ht="17.25" thickTop="1" thickBot="1">
      <c r="B31" s="17">
        <f>wyniki!O216</f>
        <v>0</v>
      </c>
      <c r="C31">
        <v>2.9999999999999997E-4</v>
      </c>
      <c r="D31">
        <f t="shared" si="0"/>
        <v>2.9999999999999997E-4</v>
      </c>
      <c r="E31">
        <f>wyniki!A210</f>
        <v>0</v>
      </c>
      <c r="G31" s="39">
        <v>30</v>
      </c>
      <c r="H31" s="77">
        <f>LARGE($D$2:$D$41,30)</f>
        <v>2.3000000000000001E-4</v>
      </c>
      <c r="I31" s="69">
        <f t="shared" si="1"/>
        <v>23</v>
      </c>
      <c r="J31" s="85">
        <f t="shared" si="2"/>
        <v>0</v>
      </c>
      <c r="K31" s="30"/>
      <c r="L31" s="30">
        <v>0</v>
      </c>
      <c r="M31" s="30">
        <f>MATCH(L31,wyniki!$A:$A,0)+1</f>
        <v>92</v>
      </c>
      <c r="N31" s="30">
        <v>15</v>
      </c>
      <c r="O31" s="119"/>
      <c r="P31" s="119"/>
      <c r="Q31" s="119"/>
      <c r="R31" s="119"/>
      <c r="S31" s="119"/>
      <c r="T31" s="30">
        <f>INDEX(nazwy_wojewodztw!$A$1:$B$40,I31,1)</f>
        <v>0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ht="17.25" thickTop="1" thickBot="1">
      <c r="B32" s="17">
        <f>wyniki!O223</f>
        <v>0</v>
      </c>
      <c r="C32">
        <v>3.1E-4</v>
      </c>
      <c r="D32">
        <f t="shared" si="0"/>
        <v>3.1E-4</v>
      </c>
      <c r="E32">
        <f>wyniki!A217</f>
        <v>0</v>
      </c>
      <c r="G32" s="39">
        <v>31</v>
      </c>
      <c r="H32" s="77">
        <f>LARGE($D$2:$D$41,31)</f>
        <v>2.2000000000000001E-4</v>
      </c>
      <c r="I32" s="69">
        <f t="shared" si="1"/>
        <v>22</v>
      </c>
      <c r="J32" s="85">
        <f t="shared" si="2"/>
        <v>0</v>
      </c>
      <c r="K32" s="30"/>
      <c r="L32" s="30">
        <v>0</v>
      </c>
      <c r="M32" s="30">
        <f>MATCH(L32,wyniki!$A:$A,0)+1</f>
        <v>92</v>
      </c>
      <c r="N32" s="30">
        <v>15</v>
      </c>
      <c r="O32" s="119"/>
      <c r="P32" s="119"/>
      <c r="Q32" s="119"/>
      <c r="R32" s="119"/>
      <c r="S32" s="119"/>
      <c r="T32" s="30">
        <f>INDEX(nazwy_wojewodztw!$A$1:$B$40,I32,1)</f>
        <v>0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7.25" thickTop="1" thickBot="1">
      <c r="B33" s="17">
        <f>wyniki!O230</f>
        <v>0</v>
      </c>
      <c r="C33">
        <v>3.2000000000000003E-4</v>
      </c>
      <c r="D33">
        <f t="shared" si="0"/>
        <v>3.2000000000000003E-4</v>
      </c>
      <c r="E33">
        <f>wyniki!A224</f>
        <v>0</v>
      </c>
      <c r="G33" s="39">
        <v>32</v>
      </c>
      <c r="H33" s="77">
        <f>LARGE($D$2:$D$41,32)</f>
        <v>2.1000000000000001E-4</v>
      </c>
      <c r="I33" s="69">
        <f t="shared" si="1"/>
        <v>21</v>
      </c>
      <c r="J33" s="85">
        <f t="shared" si="2"/>
        <v>0</v>
      </c>
      <c r="K33" s="30"/>
      <c r="L33" s="30">
        <v>0</v>
      </c>
      <c r="M33" s="30">
        <f>MATCH(L33,wyniki!$A:$A,0)+1</f>
        <v>92</v>
      </c>
      <c r="N33" s="30">
        <v>15</v>
      </c>
      <c r="O33" s="119"/>
      <c r="P33" s="119"/>
      <c r="Q33" s="119"/>
      <c r="R33" s="119"/>
      <c r="S33" s="119"/>
      <c r="T33" s="30">
        <f>INDEX(nazwy_wojewodztw!$A$1:$B$40,I33,1)</f>
        <v>0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7.25" thickTop="1" thickBot="1">
      <c r="B34" s="17">
        <f>wyniki!O237</f>
        <v>0</v>
      </c>
      <c r="C34">
        <v>3.3E-4</v>
      </c>
      <c r="D34">
        <f t="shared" si="0"/>
        <v>3.3E-4</v>
      </c>
      <c r="E34">
        <f>wyniki!A231</f>
        <v>0</v>
      </c>
      <c r="G34" s="39">
        <v>33</v>
      </c>
      <c r="H34" s="77">
        <f>LARGE($D$2:$D$41,33)</f>
        <v>2.0000000000000001E-4</v>
      </c>
      <c r="I34" s="69">
        <f t="shared" si="1"/>
        <v>20</v>
      </c>
      <c r="J34" s="85">
        <f t="shared" si="2"/>
        <v>0</v>
      </c>
      <c r="K34" s="30"/>
      <c r="L34" s="30">
        <v>0</v>
      </c>
      <c r="M34" s="30">
        <f>MATCH(L34,wyniki!$A:$A,0)+1</f>
        <v>92</v>
      </c>
      <c r="N34" s="30">
        <v>15</v>
      </c>
      <c r="O34" s="119"/>
      <c r="P34" s="119"/>
      <c r="Q34" s="119"/>
      <c r="R34" s="119"/>
      <c r="S34" s="119"/>
      <c r="T34" s="30">
        <f>INDEX(nazwy_wojewodztw!$A$1:$B$40,I34,1)</f>
        <v>0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7.25" thickTop="1" thickBot="1">
      <c r="B35" s="17">
        <f>wyniki!O244</f>
        <v>0</v>
      </c>
      <c r="C35">
        <v>3.4000000000000002E-4</v>
      </c>
      <c r="D35">
        <f t="shared" si="0"/>
        <v>3.4000000000000002E-4</v>
      </c>
      <c r="E35">
        <f>wyniki!A238</f>
        <v>0</v>
      </c>
      <c r="G35" s="39">
        <v>34</v>
      </c>
      <c r="H35" s="77">
        <f>LARGE($D$2:$D$41,34)</f>
        <v>1.9000000000000001E-4</v>
      </c>
      <c r="I35" s="69">
        <f t="shared" si="1"/>
        <v>19</v>
      </c>
      <c r="J35" s="85">
        <f t="shared" si="2"/>
        <v>0</v>
      </c>
      <c r="K35" s="30"/>
      <c r="L35" s="30">
        <v>0</v>
      </c>
      <c r="M35" s="30">
        <f>MATCH(L35,wyniki!$A:$A,0)+1</f>
        <v>92</v>
      </c>
      <c r="N35" s="30">
        <v>15</v>
      </c>
      <c r="O35" s="119"/>
      <c r="P35" s="119"/>
      <c r="Q35" s="119"/>
      <c r="R35" s="119"/>
      <c r="S35" s="119"/>
      <c r="T35" s="30">
        <f>INDEX(nazwy_wojewodztw!$A$1:$B$40,I35,1)</f>
        <v>0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7.25" thickTop="1" thickBot="1">
      <c r="B36" s="17">
        <f>wyniki!O251</f>
        <v>0</v>
      </c>
      <c r="C36">
        <v>3.5E-4</v>
      </c>
      <c r="D36">
        <f t="shared" si="0"/>
        <v>3.5E-4</v>
      </c>
      <c r="E36">
        <f>wyniki!A245</f>
        <v>0</v>
      </c>
      <c r="G36" s="39">
        <v>35</v>
      </c>
      <c r="H36" s="77">
        <f>LARGE($D$2:$D$41,35)</f>
        <v>1.8000000000000001E-4</v>
      </c>
      <c r="I36" s="69">
        <f t="shared" si="1"/>
        <v>18</v>
      </c>
      <c r="J36" s="85">
        <f t="shared" si="2"/>
        <v>0</v>
      </c>
      <c r="K36" s="30"/>
      <c r="L36" s="30">
        <v>0</v>
      </c>
      <c r="M36" s="30">
        <f>MATCH(L36,wyniki!$A:$A,0)+1</f>
        <v>92</v>
      </c>
      <c r="N36" s="30">
        <v>15</v>
      </c>
      <c r="O36" s="119"/>
      <c r="P36" s="119"/>
      <c r="Q36" s="119"/>
      <c r="R36" s="119"/>
      <c r="S36" s="119"/>
      <c r="T36" s="30">
        <f>INDEX(nazwy_wojewodztw!$A$1:$B$40,I36,1)</f>
        <v>0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7.25" thickTop="1" thickBot="1">
      <c r="B37" s="17">
        <f>wyniki!O258</f>
        <v>0</v>
      </c>
      <c r="C37">
        <v>3.6000000000000002E-4</v>
      </c>
      <c r="D37">
        <f t="shared" si="0"/>
        <v>3.6000000000000002E-4</v>
      </c>
      <c r="E37">
        <f>wyniki!A252</f>
        <v>0</v>
      </c>
      <c r="G37" s="39">
        <v>36</v>
      </c>
      <c r="H37" s="77">
        <f>LARGE($D$2:$D$41,36)</f>
        <v>1.7000000000000001E-4</v>
      </c>
      <c r="I37" s="69">
        <f t="shared" si="1"/>
        <v>17</v>
      </c>
      <c r="J37" s="85">
        <f t="shared" si="2"/>
        <v>0</v>
      </c>
      <c r="K37" s="30"/>
      <c r="L37" s="30">
        <v>0</v>
      </c>
      <c r="M37" s="30">
        <f>MATCH(L37,wyniki!$A:$A,0)+1</f>
        <v>92</v>
      </c>
      <c r="N37" s="30">
        <v>15</v>
      </c>
      <c r="O37" s="119"/>
      <c r="P37" s="119"/>
      <c r="Q37" s="119"/>
      <c r="R37" s="119"/>
      <c r="S37" s="119"/>
      <c r="T37" s="30">
        <f>INDEX(nazwy_wojewodztw!$A$1:$B$40,I37,1)</f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7.25" thickTop="1" thickBot="1">
      <c r="B38" s="17">
        <f>wyniki!O265</f>
        <v>0</v>
      </c>
      <c r="C38">
        <v>3.6999999999999999E-4</v>
      </c>
      <c r="D38">
        <f t="shared" si="0"/>
        <v>3.6999999999999999E-4</v>
      </c>
      <c r="E38">
        <f>wyniki!A259</f>
        <v>0</v>
      </c>
      <c r="G38" s="39">
        <v>37</v>
      </c>
      <c r="H38" s="77">
        <f>LARGE($D$2:$D$41,37)</f>
        <v>1.6000000000000001E-4</v>
      </c>
      <c r="I38" s="69">
        <f t="shared" si="1"/>
        <v>16</v>
      </c>
      <c r="J38" s="85">
        <f t="shared" si="2"/>
        <v>0</v>
      </c>
      <c r="K38" s="30"/>
      <c r="L38" s="30">
        <v>0</v>
      </c>
      <c r="M38" s="30">
        <f>MATCH(L38,wyniki!$A:$A,0)+1</f>
        <v>92</v>
      </c>
      <c r="N38" s="30">
        <v>15</v>
      </c>
      <c r="O38" s="119"/>
      <c r="P38" s="119"/>
      <c r="Q38" s="119"/>
      <c r="R38" s="119"/>
      <c r="S38" s="119"/>
      <c r="T38" s="30">
        <f>INDEX(nazwy_wojewodztw!$A$1:$B$40,I38,1)</f>
        <v>0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7.25" thickTop="1" thickBot="1">
      <c r="B39" s="17">
        <f>wyniki!O272</f>
        <v>0</v>
      </c>
      <c r="C39">
        <v>3.8000000000000002E-4</v>
      </c>
      <c r="D39">
        <f t="shared" si="0"/>
        <v>3.8000000000000002E-4</v>
      </c>
      <c r="E39">
        <f>wyniki!A266</f>
        <v>0</v>
      </c>
      <c r="G39" s="39">
        <v>38</v>
      </c>
      <c r="H39" s="77">
        <f>LARGE($D$2:$D$41,38)</f>
        <v>1.4999999999999999E-4</v>
      </c>
      <c r="I39" s="69">
        <f t="shared" si="1"/>
        <v>15</v>
      </c>
      <c r="J39" s="85">
        <f t="shared" si="2"/>
        <v>0</v>
      </c>
      <c r="K39" s="30"/>
      <c r="L39" s="30">
        <v>0</v>
      </c>
      <c r="M39" s="30">
        <f>MATCH(L39,wyniki!$A:$A,0)+1</f>
        <v>92</v>
      </c>
      <c r="N39" s="30">
        <v>15</v>
      </c>
      <c r="O39" s="119"/>
      <c r="P39" s="119"/>
      <c r="Q39" s="119"/>
      <c r="R39" s="119"/>
      <c r="S39" s="119"/>
      <c r="T39" s="30">
        <f>INDEX(nazwy_wojewodztw!$A$1:$B$40,I39,1)</f>
        <v>0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7.25" thickTop="1" thickBot="1">
      <c r="B40" s="17">
        <f>wyniki!O279</f>
        <v>0</v>
      </c>
      <c r="C40">
        <v>3.8999999999999999E-4</v>
      </c>
      <c r="D40">
        <f t="shared" si="0"/>
        <v>3.8999999999999999E-4</v>
      </c>
      <c r="E40">
        <f>wyniki!A273</f>
        <v>0</v>
      </c>
      <c r="G40" s="39">
        <v>39</v>
      </c>
      <c r="H40" s="77">
        <f>LARGE($D$2:$D$41,39)</f>
        <v>1.3999999999999999E-4</v>
      </c>
      <c r="I40" s="69">
        <f t="shared" si="1"/>
        <v>14</v>
      </c>
      <c r="J40" s="85">
        <f t="shared" si="2"/>
        <v>0</v>
      </c>
      <c r="K40" s="30"/>
      <c r="L40" s="30">
        <v>0</v>
      </c>
      <c r="M40" s="30">
        <f>MATCH(L40,wyniki!$A:$A,0)+1</f>
        <v>92</v>
      </c>
      <c r="N40" s="30">
        <v>15</v>
      </c>
      <c r="O40" s="119"/>
      <c r="P40" s="119"/>
      <c r="Q40" s="119"/>
      <c r="R40" s="119"/>
      <c r="S40" s="119"/>
      <c r="T40" s="30">
        <f>INDEX(nazwy_wojewodztw!$A$1:$B$40,I40,1)</f>
        <v>0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7.25" thickTop="1" thickBot="1">
      <c r="B41" s="17">
        <f>wyniki!O286</f>
        <v>0</v>
      </c>
      <c r="C41">
        <v>4.0000000000000002E-4</v>
      </c>
      <c r="D41">
        <f t="shared" si="0"/>
        <v>4.0000000000000002E-4</v>
      </c>
      <c r="E41">
        <f>wyniki!A280</f>
        <v>0</v>
      </c>
      <c r="G41" s="39">
        <v>40</v>
      </c>
      <c r="H41" s="77">
        <f>LARGE($D$2:$D$41,40)</f>
        <v>1.2999999999999999E-4</v>
      </c>
      <c r="I41" s="69">
        <f t="shared" si="1"/>
        <v>13</v>
      </c>
      <c r="J41" s="85">
        <f t="shared" si="2"/>
        <v>0</v>
      </c>
      <c r="K41" s="30"/>
      <c r="L41" s="30">
        <v>0</v>
      </c>
      <c r="M41" s="30">
        <f>MATCH(L41,wyniki!$A:$A,0)+1</f>
        <v>92</v>
      </c>
      <c r="N41" s="30">
        <v>15</v>
      </c>
      <c r="O41" s="119"/>
      <c r="P41" s="119"/>
      <c r="Q41" s="119"/>
      <c r="R41" s="119"/>
      <c r="S41" s="119"/>
      <c r="T41" s="30">
        <f>INDEX(nazwy_wojewodztw!$A$1:$B$40,I41,1)</f>
        <v>0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3.5" thickTop="1">
      <c r="A42" s="92"/>
      <c r="B42" s="20"/>
      <c r="C42" s="20"/>
      <c r="D42" s="20"/>
      <c r="E42" s="20"/>
      <c r="F42" s="20"/>
      <c r="G42" s="84"/>
      <c r="H42" s="83"/>
      <c r="I42" s="20"/>
      <c r="J42" s="8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>
      <c r="A43" s="92"/>
      <c r="B43" s="20"/>
      <c r="C43" s="20"/>
      <c r="D43" s="20"/>
      <c r="E43" s="20"/>
      <c r="F43" s="20"/>
      <c r="G43" s="84"/>
      <c r="H43" s="83"/>
      <c r="I43" s="20"/>
      <c r="J43" s="86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>
      <c r="A44" s="92"/>
      <c r="B44" s="20"/>
      <c r="C44" s="20"/>
      <c r="D44" s="20"/>
      <c r="E44" s="20"/>
      <c r="F44" s="20"/>
      <c r="G44" s="84"/>
      <c r="H44" s="83"/>
      <c r="I44" s="20"/>
      <c r="J44" s="86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>
      <c r="A45" s="92"/>
      <c r="B45" s="20"/>
      <c r="C45" s="20"/>
      <c r="D45" s="20"/>
      <c r="E45" s="20"/>
      <c r="F45" s="20"/>
      <c r="G45" s="84"/>
      <c r="H45" s="83"/>
      <c r="I45" s="20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>
      <c r="A46" s="92"/>
      <c r="B46" s="20"/>
      <c r="C46" s="20"/>
      <c r="D46" s="20"/>
      <c r="E46" s="20"/>
      <c r="F46" s="20"/>
      <c r="G46" s="84"/>
      <c r="H46" s="83"/>
      <c r="I46" s="20"/>
      <c r="J46" s="8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>
      <c r="A47" s="92"/>
      <c r="B47" s="20"/>
      <c r="C47" s="20"/>
      <c r="D47" s="20"/>
      <c r="E47" s="20"/>
      <c r="F47" s="20"/>
      <c r="G47" s="84"/>
      <c r="H47" s="83"/>
      <c r="I47" s="20"/>
      <c r="J47" s="8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>
      <c r="A48" s="92"/>
      <c r="B48" s="20"/>
      <c r="C48" s="20"/>
      <c r="D48" s="20"/>
      <c r="E48" s="20"/>
      <c r="F48" s="20"/>
      <c r="G48" s="84"/>
      <c r="H48" s="83"/>
      <c r="I48" s="20"/>
      <c r="J48" s="8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>
      <c r="A49" s="92"/>
      <c r="B49" s="20"/>
      <c r="C49" s="20"/>
      <c r="D49" s="20"/>
      <c r="E49" s="20"/>
      <c r="F49" s="20"/>
      <c r="G49" s="84"/>
      <c r="H49" s="83"/>
      <c r="I49" s="20"/>
      <c r="J49" s="8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>
      <c r="A50" s="92"/>
      <c r="B50" s="20"/>
      <c r="C50" s="20"/>
      <c r="D50" s="20"/>
      <c r="E50" s="20"/>
      <c r="F50" s="20"/>
      <c r="G50" s="84"/>
      <c r="H50" s="83"/>
      <c r="I50" s="20"/>
      <c r="J50" s="8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>
      <c r="A51" s="92"/>
      <c r="B51" s="20"/>
      <c r="C51" s="20"/>
      <c r="D51" s="20"/>
      <c r="E51" s="20"/>
      <c r="F51" s="20"/>
      <c r="G51" s="84"/>
      <c r="H51" s="83"/>
      <c r="I51" s="20"/>
      <c r="J51" s="86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>
      <c r="A52" s="92"/>
      <c r="B52" s="20"/>
      <c r="C52" s="20"/>
      <c r="D52" s="20"/>
      <c r="E52" s="20"/>
      <c r="F52" s="20"/>
      <c r="G52" s="84"/>
      <c r="H52" s="83"/>
      <c r="I52" s="20"/>
      <c r="J52" s="86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>
      <c r="A53" s="92"/>
      <c r="B53" s="20"/>
      <c r="C53" s="20"/>
      <c r="D53" s="20"/>
      <c r="E53" s="20"/>
      <c r="F53" s="20"/>
      <c r="G53" s="84"/>
      <c r="H53" s="83"/>
      <c r="I53" s="20"/>
      <c r="J53" s="86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>
      <c r="A54" s="92"/>
      <c r="B54" s="20"/>
      <c r="C54" s="20"/>
      <c r="D54" s="20"/>
      <c r="E54" s="20"/>
      <c r="F54" s="20"/>
      <c r="G54" s="84"/>
      <c r="H54" s="83"/>
      <c r="I54" s="20"/>
      <c r="J54" s="86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>
      <c r="A55" s="92"/>
      <c r="B55" s="20"/>
      <c r="C55" s="20"/>
      <c r="D55" s="20"/>
      <c r="E55" s="20"/>
      <c r="F55" s="20"/>
      <c r="G55" s="84"/>
      <c r="H55" s="83"/>
      <c r="I55" s="20"/>
      <c r="J55" s="86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>
      <c r="A56" s="92"/>
      <c r="B56" s="20"/>
      <c r="C56" s="20"/>
      <c r="D56" s="20"/>
      <c r="E56" s="20"/>
      <c r="F56" s="20"/>
      <c r="G56" s="84"/>
      <c r="H56" s="83"/>
      <c r="I56" s="20"/>
      <c r="J56" s="8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>
      <c r="A57" s="92"/>
      <c r="B57" s="20"/>
      <c r="C57" s="20"/>
      <c r="D57" s="20"/>
      <c r="E57" s="20"/>
      <c r="F57" s="20"/>
      <c r="G57" s="84"/>
      <c r="H57" s="83"/>
      <c r="I57" s="20"/>
      <c r="J57" s="86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>
      <c r="A58" s="92"/>
      <c r="B58" s="20"/>
      <c r="C58" s="20"/>
      <c r="D58" s="20"/>
      <c r="E58" s="20"/>
      <c r="F58" s="20"/>
      <c r="G58" s="84"/>
      <c r="H58" s="83"/>
      <c r="I58" s="20"/>
      <c r="J58" s="86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>
      <c r="A59" s="92"/>
      <c r="B59" s="20"/>
      <c r="C59" s="20"/>
      <c r="D59" s="20"/>
      <c r="E59" s="20"/>
      <c r="F59" s="20"/>
      <c r="G59" s="84"/>
      <c r="H59" s="83"/>
      <c r="I59" s="20"/>
      <c r="J59" s="86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>
      <c r="A60" s="92"/>
      <c r="B60" s="20"/>
      <c r="C60" s="20"/>
      <c r="D60" s="20"/>
      <c r="E60" s="20"/>
      <c r="F60" s="20"/>
      <c r="G60" s="84"/>
      <c r="H60" s="83"/>
      <c r="I60" s="20"/>
      <c r="J60" s="86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>
      <c r="A61" s="92"/>
      <c r="B61" s="20"/>
      <c r="C61" s="20"/>
      <c r="D61" s="20"/>
      <c r="E61" s="20"/>
      <c r="F61" s="20"/>
      <c r="G61" s="84"/>
      <c r="H61" s="83"/>
      <c r="I61" s="20"/>
      <c r="J61" s="86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>
      <c r="A62" s="92"/>
      <c r="B62" s="20"/>
      <c r="C62" s="20"/>
      <c r="D62" s="20"/>
      <c r="E62" s="20"/>
      <c r="F62" s="20"/>
      <c r="G62" s="84"/>
      <c r="H62" s="83"/>
      <c r="I62" s="20"/>
      <c r="J62" s="86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>
      <c r="A63" s="92"/>
      <c r="B63" s="20"/>
      <c r="C63" s="20"/>
      <c r="D63" s="20"/>
      <c r="E63" s="20"/>
      <c r="F63" s="20"/>
      <c r="G63" s="84"/>
      <c r="H63" s="83"/>
      <c r="I63" s="20"/>
      <c r="J63" s="86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>
      <c r="A64" s="92"/>
      <c r="B64" s="20"/>
      <c r="C64" s="20"/>
      <c r="D64" s="20"/>
      <c r="E64" s="20"/>
      <c r="F64" s="20"/>
      <c r="G64" s="84"/>
      <c r="H64" s="83"/>
      <c r="I64" s="20"/>
      <c r="J64" s="86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>
      <c r="A65" s="92"/>
      <c r="B65" s="20"/>
      <c r="C65" s="20"/>
      <c r="D65" s="20"/>
      <c r="E65" s="20"/>
      <c r="F65" s="20"/>
      <c r="G65" s="84"/>
      <c r="H65" s="83"/>
      <c r="I65" s="20"/>
      <c r="J65" s="86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>
      <c r="A66" s="92"/>
      <c r="B66" s="20"/>
      <c r="C66" s="20"/>
      <c r="D66" s="20"/>
      <c r="E66" s="20"/>
      <c r="F66" s="20"/>
      <c r="G66" s="84"/>
      <c r="H66" s="83"/>
      <c r="I66" s="20"/>
      <c r="J66" s="86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>
      <c r="A67" s="92"/>
      <c r="B67" s="20"/>
      <c r="C67" s="20"/>
      <c r="D67" s="20"/>
      <c r="E67" s="20"/>
      <c r="F67" s="20"/>
      <c r="G67" s="84"/>
      <c r="H67" s="83"/>
      <c r="I67" s="20"/>
      <c r="J67" s="86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>
      <c r="A68" s="92"/>
      <c r="B68" s="20"/>
      <c r="C68" s="20"/>
      <c r="D68" s="20"/>
      <c r="E68" s="20"/>
      <c r="F68" s="20"/>
      <c r="G68" s="84"/>
      <c r="H68" s="83"/>
      <c r="I68" s="20"/>
      <c r="J68" s="86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>
      <c r="A69" s="92"/>
      <c r="B69" s="20"/>
      <c r="C69" s="20"/>
      <c r="D69" s="20"/>
      <c r="E69" s="20"/>
      <c r="F69" s="20"/>
      <c r="G69" s="84"/>
      <c r="H69" s="83"/>
      <c r="I69" s="20"/>
      <c r="J69" s="86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>
      <c r="A70" s="92"/>
      <c r="B70" s="20"/>
      <c r="C70" s="20"/>
      <c r="D70" s="20"/>
      <c r="E70" s="20"/>
      <c r="F70" s="20"/>
      <c r="G70" s="84"/>
      <c r="H70" s="83"/>
      <c r="I70" s="20"/>
      <c r="J70" s="86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>
      <c r="A71" s="92"/>
      <c r="B71" s="20"/>
      <c r="C71" s="20"/>
      <c r="D71" s="20"/>
      <c r="E71" s="20"/>
      <c r="F71" s="20"/>
      <c r="G71" s="84"/>
      <c r="H71" s="83"/>
      <c r="I71" s="20"/>
      <c r="J71" s="86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>
      <c r="A72" s="92"/>
      <c r="B72" s="20"/>
      <c r="C72" s="20"/>
      <c r="D72" s="20"/>
      <c r="E72" s="20"/>
      <c r="F72" s="20"/>
      <c r="G72" s="84"/>
      <c r="H72" s="83"/>
      <c r="I72" s="20"/>
      <c r="J72" s="86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>
      <c r="A73" s="92"/>
      <c r="B73" s="20"/>
      <c r="C73" s="20"/>
      <c r="D73" s="20"/>
      <c r="E73" s="20"/>
      <c r="F73" s="20"/>
      <c r="G73" s="84"/>
      <c r="H73" s="83"/>
      <c r="I73" s="20"/>
      <c r="J73" s="86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>
      <c r="A74" s="92"/>
      <c r="B74" s="20"/>
      <c r="C74" s="20"/>
      <c r="D74" s="20"/>
      <c r="E74" s="20"/>
      <c r="F74" s="20"/>
      <c r="G74" s="84"/>
      <c r="H74" s="83"/>
      <c r="I74" s="20"/>
      <c r="J74" s="86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>
      <c r="A75" s="92"/>
      <c r="B75" s="20"/>
      <c r="C75" s="20"/>
      <c r="D75" s="20"/>
      <c r="E75" s="20"/>
      <c r="F75" s="20"/>
      <c r="G75" s="84"/>
      <c r="H75" s="83"/>
      <c r="I75" s="20"/>
      <c r="J75" s="86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>
      <c r="A76" s="92"/>
      <c r="B76" s="20"/>
      <c r="C76" s="20"/>
      <c r="D76" s="20"/>
      <c r="E76" s="20"/>
      <c r="F76" s="20"/>
      <c r="G76" s="84"/>
      <c r="H76" s="83"/>
      <c r="I76" s="20"/>
      <c r="J76" s="86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>
      <c r="A77" s="92"/>
      <c r="B77" s="20"/>
      <c r="C77" s="20"/>
      <c r="D77" s="20"/>
      <c r="E77" s="20"/>
      <c r="F77" s="20"/>
      <c r="G77" s="84"/>
      <c r="H77" s="83"/>
      <c r="I77" s="20"/>
      <c r="J77" s="86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>
      <c r="A78" s="92"/>
      <c r="B78" s="20"/>
      <c r="C78" s="20"/>
      <c r="D78" s="20"/>
      <c r="E78" s="20"/>
      <c r="F78" s="20"/>
      <c r="G78" s="84"/>
      <c r="H78" s="83"/>
      <c r="I78" s="20"/>
      <c r="J78" s="86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>
      <c r="A79" s="92"/>
      <c r="B79" s="20"/>
      <c r="C79" s="20"/>
      <c r="D79" s="20"/>
      <c r="E79" s="20"/>
      <c r="F79" s="20"/>
      <c r="G79" s="84"/>
      <c r="H79" s="83"/>
      <c r="I79" s="20"/>
      <c r="J79" s="8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>
      <c r="A80" s="92"/>
      <c r="B80" s="20"/>
      <c r="C80" s="20"/>
      <c r="D80" s="20"/>
      <c r="E80" s="20"/>
      <c r="F80" s="20"/>
      <c r="G80" s="84"/>
      <c r="H80" s="83"/>
      <c r="I80" s="20"/>
      <c r="J80" s="86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>
      <c r="A81" s="92"/>
      <c r="B81" s="20"/>
      <c r="C81" s="20"/>
      <c r="D81" s="20"/>
      <c r="E81" s="20"/>
      <c r="F81" s="20"/>
      <c r="G81" s="84"/>
      <c r="H81" s="83"/>
      <c r="I81" s="20"/>
      <c r="J81" s="86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>
      <c r="A82" s="92"/>
      <c r="B82" s="20"/>
      <c r="C82" s="20"/>
      <c r="D82" s="20"/>
      <c r="E82" s="20"/>
      <c r="F82" s="20"/>
      <c r="G82" s="84"/>
      <c r="H82" s="83"/>
      <c r="I82" s="20"/>
      <c r="J82" s="86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>
      <c r="A83" s="92"/>
      <c r="B83" s="20"/>
      <c r="C83" s="20"/>
      <c r="D83" s="20"/>
      <c r="E83" s="20"/>
      <c r="F83" s="20"/>
      <c r="G83" s="84"/>
      <c r="H83" s="83"/>
      <c r="I83" s="20"/>
      <c r="J83" s="86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>
      <c r="A84" s="92"/>
      <c r="B84" s="20"/>
      <c r="C84" s="20"/>
      <c r="D84" s="20"/>
      <c r="E84" s="20"/>
      <c r="F84" s="20"/>
      <c r="G84" s="84"/>
      <c r="H84" s="83"/>
      <c r="I84" s="20"/>
      <c r="J84" s="86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>
      <c r="A85" s="92"/>
      <c r="B85" s="20"/>
      <c r="C85" s="20"/>
      <c r="D85" s="20"/>
      <c r="E85" s="20"/>
      <c r="F85" s="20"/>
      <c r="G85" s="84"/>
      <c r="H85" s="83"/>
      <c r="I85" s="20"/>
      <c r="J85" s="86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>
      <c r="A86" s="92"/>
      <c r="B86" s="20"/>
      <c r="C86" s="20"/>
      <c r="D86" s="20"/>
      <c r="E86" s="20"/>
      <c r="F86" s="20"/>
      <c r="G86" s="84"/>
      <c r="H86" s="83"/>
      <c r="I86" s="20"/>
      <c r="J86" s="86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>
      <c r="A87" s="92"/>
      <c r="B87" s="20"/>
      <c r="C87" s="20"/>
      <c r="D87" s="20"/>
      <c r="E87" s="20"/>
      <c r="F87" s="20"/>
      <c r="G87" s="84"/>
      <c r="H87" s="83"/>
      <c r="I87" s="20"/>
      <c r="J87" s="86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>
      <c r="A88" s="92"/>
      <c r="B88" s="20"/>
      <c r="C88" s="20"/>
      <c r="D88" s="20"/>
      <c r="E88" s="20"/>
      <c r="F88" s="20"/>
      <c r="G88" s="84"/>
      <c r="H88" s="83"/>
      <c r="I88" s="20"/>
      <c r="J88" s="86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>
      <c r="A89" s="92"/>
      <c r="B89" s="20"/>
      <c r="C89" s="20"/>
      <c r="D89" s="20"/>
      <c r="E89" s="20"/>
      <c r="F89" s="20"/>
      <c r="G89" s="84"/>
      <c r="H89" s="83"/>
      <c r="I89" s="20"/>
      <c r="J89" s="86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>
      <c r="A90" s="92"/>
      <c r="B90" s="20"/>
      <c r="C90" s="20"/>
      <c r="D90" s="20"/>
      <c r="E90" s="20"/>
      <c r="F90" s="20"/>
      <c r="G90" s="84"/>
      <c r="H90" s="83"/>
      <c r="I90" s="20"/>
      <c r="J90" s="86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>
      <c r="A91" s="92"/>
      <c r="B91" s="20"/>
      <c r="C91" s="20"/>
      <c r="D91" s="20"/>
      <c r="E91" s="20"/>
      <c r="F91" s="20"/>
      <c r="G91" s="84"/>
      <c r="H91" s="83"/>
      <c r="I91" s="20"/>
      <c r="J91" s="86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>
      <c r="A92" s="92"/>
      <c r="B92" s="20"/>
      <c r="C92" s="20"/>
      <c r="D92" s="20"/>
      <c r="E92" s="20"/>
      <c r="F92" s="20"/>
      <c r="G92" s="84"/>
      <c r="H92" s="83"/>
      <c r="I92" s="20"/>
      <c r="J92" s="86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>
      <c r="A93" s="92"/>
      <c r="B93" s="20"/>
      <c r="C93" s="20"/>
      <c r="D93" s="20"/>
      <c r="E93" s="20"/>
      <c r="F93" s="20"/>
      <c r="G93" s="84"/>
      <c r="H93" s="83"/>
      <c r="I93" s="20"/>
      <c r="J93" s="86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>
      <c r="A94" s="92"/>
      <c r="B94" s="20"/>
      <c r="C94" s="20"/>
      <c r="D94" s="20"/>
      <c r="E94" s="20"/>
      <c r="F94" s="20"/>
      <c r="G94" s="84"/>
      <c r="H94" s="83"/>
      <c r="I94" s="20"/>
      <c r="J94" s="86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>
      <c r="A95" s="92"/>
      <c r="B95" s="20"/>
      <c r="C95" s="20"/>
      <c r="D95" s="20"/>
      <c r="E95" s="20"/>
      <c r="F95" s="20"/>
      <c r="G95" s="84"/>
      <c r="H95" s="83"/>
      <c r="I95" s="20"/>
      <c r="J95" s="86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>
      <c r="A96" s="92"/>
      <c r="B96" s="20"/>
      <c r="C96" s="20"/>
      <c r="D96" s="20"/>
      <c r="E96" s="20"/>
      <c r="F96" s="20"/>
      <c r="G96" s="84"/>
      <c r="H96" s="83"/>
      <c r="I96" s="20"/>
      <c r="J96" s="8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>
      <c r="A97" s="92"/>
      <c r="B97" s="20"/>
      <c r="C97" s="20"/>
      <c r="D97" s="20"/>
      <c r="E97" s="20"/>
      <c r="F97" s="20"/>
      <c r="G97" s="84"/>
      <c r="H97" s="83"/>
      <c r="I97" s="20"/>
      <c r="J97" s="86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>
      <c r="A98" s="92"/>
      <c r="B98" s="20"/>
      <c r="C98" s="20"/>
      <c r="D98" s="20"/>
      <c r="E98" s="20"/>
      <c r="F98" s="20"/>
      <c r="G98" s="84"/>
      <c r="H98" s="83"/>
      <c r="I98" s="20"/>
      <c r="J98" s="86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>
      <c r="A99" s="92"/>
      <c r="B99" s="20"/>
      <c r="C99" s="20"/>
      <c r="D99" s="20"/>
      <c r="E99" s="20"/>
      <c r="F99" s="20"/>
      <c r="G99" s="84"/>
      <c r="H99" s="83"/>
      <c r="I99" s="20"/>
      <c r="J99" s="86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>
      <c r="A100" s="92"/>
      <c r="B100" s="20"/>
      <c r="C100" s="20"/>
      <c r="D100" s="20"/>
      <c r="E100" s="20"/>
      <c r="F100" s="20"/>
      <c r="G100" s="84"/>
      <c r="H100" s="83"/>
      <c r="I100" s="20"/>
      <c r="J100" s="86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>
      <c r="A101" s="92"/>
      <c r="B101" s="20"/>
      <c r="C101" s="20"/>
      <c r="D101" s="20"/>
      <c r="E101" s="20"/>
      <c r="F101" s="20"/>
      <c r="G101" s="84"/>
      <c r="H101" s="83"/>
      <c r="I101" s="20"/>
      <c r="J101" s="86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>
      <c r="A102" s="92"/>
      <c r="B102" s="20"/>
      <c r="C102" s="20"/>
      <c r="D102" s="20"/>
      <c r="E102" s="20"/>
      <c r="F102" s="20"/>
      <c r="G102" s="84"/>
      <c r="H102" s="83"/>
      <c r="I102" s="20"/>
      <c r="J102" s="86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>
      <c r="A103" s="92"/>
      <c r="B103" s="20"/>
      <c r="C103" s="20"/>
      <c r="D103" s="20"/>
      <c r="E103" s="20"/>
      <c r="F103" s="20"/>
      <c r="G103" s="84"/>
      <c r="H103" s="83"/>
      <c r="I103" s="20"/>
      <c r="J103" s="86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>
      <c r="A104" s="92"/>
      <c r="B104" s="20"/>
      <c r="C104" s="20"/>
      <c r="D104" s="20"/>
      <c r="E104" s="20"/>
      <c r="F104" s="20"/>
      <c r="G104" s="84"/>
      <c r="H104" s="83"/>
      <c r="I104" s="20"/>
      <c r="J104" s="86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>
      <c r="A105" s="92"/>
      <c r="B105" s="20"/>
      <c r="C105" s="20"/>
      <c r="D105" s="20"/>
      <c r="E105" s="20"/>
      <c r="F105" s="20"/>
      <c r="G105" s="84"/>
      <c r="H105" s="83"/>
      <c r="I105" s="20"/>
      <c r="J105" s="86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>
      <c r="A106" s="92"/>
      <c r="B106" s="20"/>
      <c r="C106" s="20"/>
      <c r="D106" s="20"/>
      <c r="E106" s="20"/>
      <c r="F106" s="20"/>
      <c r="G106" s="84"/>
      <c r="H106" s="83"/>
      <c r="I106" s="20"/>
      <c r="J106" s="8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>
      <c r="A107" s="92"/>
      <c r="B107" s="20"/>
      <c r="C107" s="20"/>
      <c r="D107" s="20"/>
      <c r="E107" s="20"/>
      <c r="F107" s="20"/>
      <c r="G107" s="84"/>
      <c r="H107" s="83"/>
      <c r="I107" s="20"/>
      <c r="J107" s="86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>
      <c r="A108" s="92"/>
      <c r="B108" s="20"/>
      <c r="C108" s="20"/>
      <c r="D108" s="20"/>
      <c r="E108" s="20"/>
      <c r="F108" s="20"/>
      <c r="G108" s="84"/>
      <c r="H108" s="83"/>
      <c r="I108" s="20"/>
      <c r="J108" s="86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>
      <c r="A109" s="92"/>
      <c r="B109" s="20"/>
      <c r="C109" s="20"/>
      <c r="D109" s="20"/>
      <c r="E109" s="20"/>
      <c r="F109" s="20"/>
      <c r="G109" s="84"/>
      <c r="H109" s="83"/>
      <c r="I109" s="20"/>
      <c r="J109" s="86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>
      <c r="A110" s="92"/>
      <c r="B110" s="20"/>
      <c r="C110" s="20"/>
      <c r="D110" s="20"/>
      <c r="E110" s="20"/>
      <c r="F110" s="20"/>
      <c r="G110" s="84"/>
      <c r="H110" s="83"/>
      <c r="I110" s="20"/>
      <c r="J110" s="86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>
      <c r="A111" s="92"/>
      <c r="B111" s="20"/>
      <c r="C111" s="20"/>
      <c r="D111" s="20"/>
      <c r="E111" s="20"/>
      <c r="F111" s="20"/>
      <c r="G111" s="84"/>
      <c r="H111" s="83"/>
      <c r="I111" s="20"/>
      <c r="J111" s="86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>
      <c r="A112" s="92"/>
      <c r="B112" s="20"/>
      <c r="C112" s="20"/>
      <c r="D112" s="20"/>
      <c r="E112" s="20"/>
      <c r="F112" s="20"/>
      <c r="G112" s="84"/>
      <c r="H112" s="83"/>
      <c r="I112" s="20"/>
      <c r="J112" s="86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>
      <c r="A113" s="92"/>
      <c r="B113" s="20"/>
      <c r="C113" s="20"/>
      <c r="D113" s="20"/>
      <c r="E113" s="20"/>
      <c r="F113" s="20"/>
      <c r="G113" s="84"/>
      <c r="H113" s="83"/>
      <c r="I113" s="20"/>
      <c r="J113" s="86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>
      <c r="A114" s="92"/>
      <c r="B114" s="20"/>
      <c r="C114" s="20"/>
      <c r="D114" s="20"/>
      <c r="E114" s="20"/>
      <c r="F114" s="20"/>
      <c r="G114" s="84"/>
      <c r="H114" s="83"/>
      <c r="I114" s="20"/>
      <c r="J114" s="86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>
      <c r="A115" s="92"/>
      <c r="B115" s="20"/>
      <c r="C115" s="20"/>
      <c r="D115" s="20"/>
      <c r="E115" s="20"/>
      <c r="F115" s="20"/>
      <c r="G115" s="84"/>
      <c r="H115" s="83"/>
      <c r="I115" s="20"/>
      <c r="J115" s="86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>
      <c r="A116" s="92"/>
      <c r="B116" s="20"/>
      <c r="C116" s="20"/>
      <c r="D116" s="20"/>
      <c r="E116" s="20"/>
      <c r="F116" s="20"/>
      <c r="G116" s="84"/>
      <c r="H116" s="83"/>
      <c r="I116" s="20"/>
      <c r="J116" s="8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>
      <c r="A117" s="92"/>
      <c r="B117" s="20"/>
      <c r="C117" s="20"/>
      <c r="D117" s="20"/>
      <c r="E117" s="20"/>
      <c r="F117" s="20"/>
      <c r="G117" s="84"/>
      <c r="H117" s="83"/>
      <c r="I117" s="20"/>
      <c r="J117" s="86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>
      <c r="A118" s="92"/>
      <c r="B118" s="20"/>
      <c r="C118" s="20"/>
      <c r="D118" s="20"/>
      <c r="E118" s="20"/>
      <c r="F118" s="20"/>
      <c r="G118" s="84"/>
      <c r="H118" s="83"/>
      <c r="I118" s="20"/>
      <c r="J118" s="86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>
      <c r="A119" s="92"/>
      <c r="B119" s="20"/>
      <c r="C119" s="20"/>
      <c r="D119" s="20"/>
      <c r="E119" s="20"/>
      <c r="F119" s="20"/>
      <c r="G119" s="84"/>
      <c r="H119" s="83"/>
      <c r="I119" s="20"/>
      <c r="J119" s="86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>
      <c r="A120" s="92"/>
      <c r="B120" s="20"/>
      <c r="C120" s="20"/>
      <c r="D120" s="20"/>
      <c r="E120" s="20"/>
      <c r="F120" s="20"/>
      <c r="G120" s="84"/>
      <c r="H120" s="83"/>
      <c r="I120" s="20"/>
      <c r="J120" s="86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>
      <c r="A121" s="92"/>
      <c r="B121" s="20"/>
      <c r="C121" s="20"/>
      <c r="D121" s="20"/>
      <c r="E121" s="20"/>
      <c r="F121" s="20"/>
      <c r="G121" s="84"/>
      <c r="H121" s="83"/>
      <c r="I121" s="20"/>
      <c r="J121" s="86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>
      <c r="A122" s="92"/>
      <c r="B122" s="20"/>
      <c r="C122" s="20"/>
      <c r="D122" s="20"/>
      <c r="E122" s="20"/>
      <c r="F122" s="20"/>
      <c r="G122" s="84"/>
      <c r="H122" s="83"/>
      <c r="I122" s="20"/>
      <c r="J122" s="86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>
      <c r="A123" s="92"/>
      <c r="B123" s="20"/>
      <c r="C123" s="20"/>
      <c r="D123" s="20"/>
      <c r="E123" s="20"/>
      <c r="F123" s="20"/>
      <c r="G123" s="84"/>
      <c r="H123" s="83"/>
      <c r="I123" s="20"/>
      <c r="J123" s="86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>
      <c r="A124" s="92"/>
      <c r="B124" s="20"/>
      <c r="C124" s="20"/>
      <c r="D124" s="20"/>
      <c r="E124" s="20"/>
      <c r="F124" s="20"/>
      <c r="G124" s="84"/>
      <c r="H124" s="83"/>
      <c r="I124" s="20"/>
      <c r="J124" s="86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>
      <c r="A125" s="92"/>
      <c r="B125" s="20"/>
      <c r="C125" s="20"/>
      <c r="D125" s="20"/>
      <c r="E125" s="20"/>
      <c r="F125" s="20"/>
      <c r="G125" s="84"/>
      <c r="H125" s="83"/>
      <c r="I125" s="20"/>
      <c r="J125" s="86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>
      <c r="A126" s="92"/>
      <c r="B126" s="20"/>
      <c r="C126" s="20"/>
      <c r="D126" s="20"/>
      <c r="E126" s="20"/>
      <c r="F126" s="20"/>
      <c r="G126" s="84"/>
      <c r="H126" s="83"/>
      <c r="I126" s="20"/>
      <c r="J126" s="86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>
      <c r="A127" s="92"/>
      <c r="B127" s="20"/>
      <c r="C127" s="20"/>
      <c r="D127" s="20"/>
      <c r="E127" s="20"/>
      <c r="F127" s="20"/>
      <c r="G127" s="84"/>
      <c r="H127" s="83"/>
      <c r="I127" s="20"/>
      <c r="J127" s="86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>
      <c r="A128" s="92"/>
      <c r="B128" s="20"/>
      <c r="C128" s="20"/>
      <c r="D128" s="20"/>
      <c r="E128" s="20"/>
      <c r="F128" s="20"/>
      <c r="G128" s="84"/>
      <c r="H128" s="83"/>
      <c r="I128" s="20"/>
      <c r="J128" s="86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>
      <c r="A129" s="92"/>
      <c r="B129" s="20"/>
      <c r="C129" s="20"/>
      <c r="D129" s="20"/>
      <c r="E129" s="20"/>
      <c r="F129" s="20"/>
      <c r="G129" s="84"/>
      <c r="H129" s="83"/>
      <c r="I129" s="20"/>
      <c r="J129" s="86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>
      <c r="A130" s="92"/>
      <c r="B130" s="20"/>
      <c r="C130" s="20"/>
      <c r="D130" s="20"/>
      <c r="E130" s="20"/>
      <c r="F130" s="20"/>
      <c r="G130" s="84"/>
      <c r="H130" s="83"/>
      <c r="I130" s="20"/>
      <c r="J130" s="86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>
      <c r="A131" s="92"/>
      <c r="B131" s="20"/>
      <c r="C131" s="20"/>
      <c r="D131" s="20"/>
      <c r="E131" s="20"/>
      <c r="F131" s="20"/>
      <c r="G131" s="84"/>
      <c r="H131" s="83"/>
      <c r="I131" s="20"/>
      <c r="J131" s="86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>
      <c r="A132" s="92"/>
      <c r="B132" s="20"/>
      <c r="C132" s="20"/>
      <c r="D132" s="20"/>
      <c r="E132" s="20"/>
      <c r="F132" s="20"/>
      <c r="G132" s="84"/>
      <c r="H132" s="83"/>
      <c r="I132" s="20"/>
      <c r="J132" s="86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>
      <c r="A133" s="92"/>
      <c r="B133" s="20"/>
      <c r="C133" s="20"/>
      <c r="D133" s="20"/>
      <c r="E133" s="20"/>
      <c r="F133" s="20"/>
      <c r="G133" s="84"/>
      <c r="H133" s="83"/>
      <c r="I133" s="20"/>
      <c r="J133" s="86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>
      <c r="A134" s="92"/>
      <c r="B134" s="20"/>
      <c r="C134" s="20"/>
      <c r="D134" s="20"/>
      <c r="E134" s="20"/>
      <c r="F134" s="20"/>
      <c r="G134" s="84"/>
      <c r="H134" s="83"/>
      <c r="I134" s="20"/>
      <c r="J134" s="86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>
      <c r="A135" s="92"/>
      <c r="B135" s="20"/>
      <c r="C135" s="20"/>
      <c r="D135" s="20"/>
      <c r="E135" s="20"/>
      <c r="F135" s="20"/>
      <c r="G135" s="84"/>
      <c r="H135" s="83"/>
      <c r="I135" s="20"/>
      <c r="J135" s="86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>
      <c r="A136" s="92"/>
      <c r="B136" s="20"/>
      <c r="C136" s="20"/>
      <c r="D136" s="20"/>
      <c r="E136" s="20"/>
      <c r="F136" s="20"/>
      <c r="G136" s="84"/>
      <c r="H136" s="83"/>
      <c r="I136" s="20"/>
      <c r="J136" s="86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>
      <c r="A137" s="92"/>
      <c r="B137" s="20"/>
      <c r="C137" s="20"/>
      <c r="D137" s="20"/>
      <c r="E137" s="20"/>
      <c r="F137" s="20"/>
      <c r="G137" s="84"/>
      <c r="H137" s="83"/>
      <c r="I137" s="20"/>
      <c r="J137" s="86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>
      <c r="A138" s="92"/>
      <c r="B138" s="20"/>
      <c r="C138" s="20"/>
      <c r="D138" s="20"/>
      <c r="E138" s="20"/>
      <c r="F138" s="20"/>
      <c r="G138" s="84"/>
      <c r="H138" s="83"/>
      <c r="I138" s="20"/>
      <c r="J138" s="86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>
      <c r="A139" s="92"/>
      <c r="B139" s="20"/>
      <c r="C139" s="20"/>
      <c r="D139" s="20"/>
      <c r="E139" s="20"/>
      <c r="F139" s="20"/>
      <c r="G139" s="84"/>
      <c r="H139" s="83"/>
      <c r="I139" s="20"/>
      <c r="J139" s="86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>
      <c r="A140" s="92"/>
      <c r="B140" s="20"/>
      <c r="C140" s="20"/>
      <c r="D140" s="20"/>
      <c r="E140" s="20"/>
      <c r="F140" s="20"/>
      <c r="G140" s="84"/>
      <c r="H140" s="83"/>
      <c r="I140" s="20"/>
      <c r="J140" s="86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>
      <c r="A141" s="92"/>
      <c r="B141" s="20"/>
      <c r="C141" s="20"/>
      <c r="D141" s="20"/>
      <c r="E141" s="20"/>
      <c r="F141" s="20"/>
      <c r="G141" s="84"/>
      <c r="H141" s="83"/>
      <c r="I141" s="20"/>
      <c r="J141" s="86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>
      <c r="A142" s="92"/>
      <c r="B142" s="20"/>
      <c r="C142" s="20"/>
      <c r="D142" s="20"/>
      <c r="E142" s="20"/>
      <c r="F142" s="20"/>
      <c r="G142" s="84"/>
      <c r="H142" s="83"/>
      <c r="I142" s="20"/>
      <c r="J142" s="86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>
      <c r="A143" s="92"/>
      <c r="B143" s="20"/>
      <c r="C143" s="20"/>
      <c r="D143" s="20"/>
      <c r="E143" s="20"/>
      <c r="F143" s="20"/>
      <c r="G143" s="84"/>
      <c r="H143" s="83"/>
      <c r="I143" s="20"/>
      <c r="J143" s="86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>
      <c r="A144" s="92"/>
      <c r="B144" s="20"/>
      <c r="C144" s="20"/>
      <c r="D144" s="20"/>
      <c r="E144" s="20"/>
      <c r="F144" s="20"/>
      <c r="G144" s="84"/>
      <c r="H144" s="83"/>
      <c r="I144" s="20"/>
      <c r="J144" s="8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>
      <c r="A145" s="92"/>
      <c r="B145" s="20"/>
      <c r="C145" s="20"/>
      <c r="D145" s="20"/>
      <c r="E145" s="20"/>
      <c r="F145" s="20"/>
      <c r="G145" s="84"/>
      <c r="H145" s="83"/>
      <c r="I145" s="20"/>
      <c r="J145" s="8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>
      <c r="A146" s="92"/>
      <c r="B146" s="20"/>
      <c r="C146" s="20"/>
      <c r="D146" s="20"/>
      <c r="E146" s="20"/>
      <c r="F146" s="20"/>
      <c r="G146" s="84"/>
      <c r="H146" s="83"/>
      <c r="I146" s="20"/>
      <c r="J146" s="86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>
      <c r="A147" s="92"/>
      <c r="B147" s="20"/>
      <c r="C147" s="20"/>
      <c r="D147" s="20"/>
      <c r="E147" s="20"/>
      <c r="F147" s="20"/>
      <c r="G147" s="84"/>
      <c r="H147" s="83"/>
      <c r="I147" s="20"/>
      <c r="J147" s="86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>
      <c r="A148" s="92"/>
      <c r="B148" s="20"/>
      <c r="C148" s="20"/>
      <c r="D148" s="20"/>
      <c r="E148" s="20"/>
      <c r="F148" s="20"/>
      <c r="G148" s="84"/>
      <c r="H148" s="83"/>
      <c r="I148" s="20"/>
      <c r="J148" s="86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>
      <c r="A149" s="92"/>
      <c r="B149" s="20"/>
      <c r="C149" s="20"/>
      <c r="D149" s="20"/>
      <c r="E149" s="20"/>
      <c r="F149" s="20"/>
      <c r="G149" s="84"/>
      <c r="H149" s="83"/>
      <c r="I149" s="20"/>
      <c r="J149" s="8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>
      <c r="A150" s="92"/>
      <c r="B150" s="20"/>
      <c r="C150" s="20"/>
      <c r="D150" s="20"/>
      <c r="E150" s="20"/>
      <c r="F150" s="20"/>
      <c r="G150" s="84"/>
      <c r="H150" s="83"/>
      <c r="I150" s="20"/>
      <c r="J150" s="8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>
      <c r="A151" s="92"/>
      <c r="B151" s="20"/>
      <c r="C151" s="20"/>
      <c r="D151" s="20"/>
      <c r="E151" s="20"/>
      <c r="F151" s="20"/>
      <c r="G151" s="84"/>
      <c r="H151" s="83"/>
      <c r="I151" s="20"/>
      <c r="J151" s="8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>
      <c r="A152" s="92"/>
      <c r="B152" s="20"/>
      <c r="C152" s="20"/>
      <c r="D152" s="20"/>
      <c r="E152" s="20"/>
      <c r="F152" s="20"/>
      <c r="G152" s="84"/>
      <c r="H152" s="83"/>
      <c r="I152" s="20"/>
      <c r="J152" s="8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>
      <c r="A153" s="92"/>
      <c r="B153" s="20"/>
      <c r="C153" s="20"/>
      <c r="D153" s="20"/>
      <c r="E153" s="20"/>
      <c r="F153" s="20"/>
      <c r="G153" s="84"/>
      <c r="H153" s="83"/>
      <c r="I153" s="20"/>
      <c r="J153" s="8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>
      <c r="A154" s="92"/>
      <c r="B154" s="20"/>
      <c r="C154" s="20"/>
      <c r="D154" s="20"/>
      <c r="E154" s="20"/>
      <c r="F154" s="20"/>
      <c r="G154" s="84"/>
      <c r="H154" s="83"/>
      <c r="I154" s="20"/>
      <c r="J154" s="86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>
      <c r="A155" s="92"/>
      <c r="B155" s="20"/>
      <c r="C155" s="20"/>
      <c r="D155" s="20"/>
      <c r="E155" s="20"/>
      <c r="F155" s="20"/>
      <c r="G155" s="84"/>
      <c r="H155" s="83"/>
      <c r="I155" s="20"/>
      <c r="J155" s="86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>
      <c r="A156" s="92"/>
      <c r="B156" s="20"/>
      <c r="C156" s="20"/>
      <c r="D156" s="20"/>
      <c r="E156" s="20"/>
      <c r="F156" s="20"/>
      <c r="G156" s="84"/>
      <c r="H156" s="83"/>
      <c r="I156" s="20"/>
      <c r="J156" s="86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>
      <c r="A157" s="92"/>
      <c r="B157" s="20"/>
      <c r="C157" s="20"/>
      <c r="D157" s="20"/>
      <c r="E157" s="20"/>
      <c r="F157" s="20"/>
      <c r="G157" s="84"/>
      <c r="H157" s="83"/>
      <c r="I157" s="20"/>
      <c r="J157" s="8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>
      <c r="A158" s="92"/>
      <c r="B158" s="20"/>
      <c r="C158" s="20"/>
      <c r="D158" s="20"/>
      <c r="E158" s="20"/>
      <c r="F158" s="20"/>
      <c r="G158" s="84"/>
      <c r="H158" s="83"/>
      <c r="I158" s="20"/>
      <c r="J158" s="8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>
      <c r="A159" s="92"/>
      <c r="B159" s="20"/>
      <c r="C159" s="20"/>
      <c r="D159" s="20"/>
      <c r="E159" s="20"/>
      <c r="F159" s="20"/>
      <c r="G159" s="84"/>
      <c r="H159" s="83"/>
      <c r="I159" s="20"/>
      <c r="J159" s="8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>
      <c r="A160" s="92"/>
      <c r="B160" s="20"/>
      <c r="C160" s="20"/>
      <c r="D160" s="20"/>
      <c r="E160" s="20"/>
      <c r="F160" s="20"/>
      <c r="G160" s="84"/>
      <c r="H160" s="83"/>
      <c r="I160" s="20"/>
      <c r="J160" s="8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5">
      <c r="A161" s="92"/>
      <c r="B161" s="20"/>
      <c r="C161" s="20"/>
      <c r="D161" s="20"/>
      <c r="E161" s="20"/>
      <c r="F161" s="20"/>
      <c r="G161" s="84"/>
      <c r="H161" s="83"/>
      <c r="I161" s="20"/>
      <c r="J161" s="8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5">
      <c r="A162" s="92"/>
      <c r="B162" s="20"/>
      <c r="C162" s="20"/>
      <c r="D162" s="20"/>
      <c r="E162" s="20"/>
      <c r="F162" s="20"/>
      <c r="G162" s="84"/>
      <c r="H162" s="83"/>
      <c r="I162" s="20"/>
      <c r="J162" s="86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5">
      <c r="A163" s="92"/>
      <c r="B163" s="20"/>
      <c r="C163" s="20"/>
      <c r="D163" s="20"/>
      <c r="E163" s="20"/>
      <c r="F163" s="20"/>
      <c r="G163" s="84"/>
      <c r="H163" s="83"/>
      <c r="I163" s="20"/>
      <c r="J163" s="86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5">
      <c r="A164" s="92"/>
      <c r="B164" s="20"/>
      <c r="C164" s="20"/>
      <c r="D164" s="20"/>
      <c r="E164" s="20"/>
      <c r="F164" s="20"/>
      <c r="G164" s="84"/>
      <c r="H164" s="83"/>
      <c r="I164" s="20"/>
      <c r="J164" s="86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5">
      <c r="A165" s="92"/>
      <c r="B165" s="20"/>
      <c r="C165" s="20"/>
      <c r="D165" s="20"/>
      <c r="E165" s="20"/>
      <c r="F165" s="20"/>
      <c r="G165" s="84"/>
      <c r="H165" s="83"/>
      <c r="I165" s="20"/>
      <c r="J165" s="8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5">
      <c r="A166" s="92"/>
      <c r="B166" s="20"/>
      <c r="C166" s="20"/>
      <c r="D166" s="20"/>
      <c r="E166" s="20"/>
      <c r="F166" s="20"/>
      <c r="G166" s="84"/>
      <c r="H166" s="83"/>
      <c r="I166" s="20"/>
      <c r="J166" s="8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5">
      <c r="A167" s="92"/>
      <c r="B167" s="20"/>
      <c r="C167" s="20"/>
      <c r="D167" s="20"/>
      <c r="E167" s="20"/>
      <c r="F167" s="20"/>
      <c r="G167" s="84"/>
      <c r="H167" s="83"/>
      <c r="I167" s="20"/>
      <c r="J167" s="8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5">
      <c r="A168" s="92"/>
      <c r="B168" s="20"/>
      <c r="C168" s="20"/>
      <c r="D168" s="20"/>
      <c r="E168" s="20"/>
      <c r="F168" s="20"/>
      <c r="G168" s="84"/>
      <c r="H168" s="83"/>
      <c r="I168" s="20"/>
      <c r="J168" s="8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5">
      <c r="A169" s="92"/>
      <c r="B169" s="20"/>
      <c r="C169" s="20"/>
      <c r="D169" s="20"/>
      <c r="E169" s="20"/>
      <c r="F169" s="20"/>
      <c r="G169" s="84"/>
      <c r="H169" s="83"/>
      <c r="I169" s="20"/>
      <c r="J169" s="8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>
      <c r="A170" s="92"/>
      <c r="B170" s="20"/>
      <c r="C170" s="20"/>
      <c r="D170" s="20"/>
      <c r="E170" s="20"/>
      <c r="F170" s="20"/>
      <c r="G170" s="84"/>
      <c r="H170" s="83"/>
      <c r="I170" s="20"/>
      <c r="J170" s="86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5">
      <c r="A171" s="92"/>
      <c r="B171" s="20"/>
      <c r="C171" s="20"/>
      <c r="D171" s="20"/>
      <c r="E171" s="20"/>
      <c r="F171" s="20"/>
      <c r="G171" s="84"/>
      <c r="H171" s="83"/>
      <c r="I171" s="20"/>
      <c r="J171" s="86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5">
      <c r="A172" s="92"/>
      <c r="B172" s="20"/>
      <c r="C172" s="20"/>
      <c r="D172" s="20"/>
      <c r="E172" s="20"/>
      <c r="F172" s="20"/>
      <c r="G172" s="84"/>
      <c r="H172" s="83"/>
      <c r="I172" s="20"/>
      <c r="J172" s="86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5">
      <c r="A173" s="92"/>
      <c r="B173" s="20"/>
      <c r="C173" s="20"/>
      <c r="D173" s="20"/>
      <c r="E173" s="20"/>
      <c r="F173" s="20"/>
      <c r="G173" s="84"/>
      <c r="H173" s="83"/>
      <c r="I173" s="20"/>
      <c r="J173" s="8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5">
      <c r="A174" s="92"/>
      <c r="B174" s="20"/>
      <c r="C174" s="20"/>
      <c r="D174" s="20"/>
      <c r="E174" s="20"/>
      <c r="F174" s="20"/>
      <c r="G174" s="84"/>
      <c r="H174" s="83"/>
      <c r="I174" s="20"/>
      <c r="J174" s="8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5">
      <c r="A175" s="92"/>
      <c r="B175" s="20"/>
      <c r="C175" s="20"/>
      <c r="D175" s="20"/>
      <c r="E175" s="20"/>
      <c r="F175" s="20"/>
      <c r="G175" s="84"/>
      <c r="H175" s="83"/>
      <c r="I175" s="20"/>
      <c r="J175" s="8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>
      <c r="A176" s="92"/>
      <c r="B176" s="20"/>
      <c r="C176" s="20"/>
      <c r="D176" s="20"/>
      <c r="E176" s="20"/>
      <c r="F176" s="20"/>
      <c r="G176" s="84"/>
      <c r="H176" s="83"/>
      <c r="I176" s="20"/>
      <c r="J176" s="86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1:35">
      <c r="A177" s="92"/>
      <c r="B177" s="20"/>
      <c r="C177" s="20"/>
      <c r="D177" s="20"/>
      <c r="E177" s="20"/>
      <c r="F177" s="20"/>
      <c r="G177" s="84"/>
      <c r="H177" s="83"/>
      <c r="I177" s="20"/>
      <c r="J177" s="86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1:35">
      <c r="A178" s="92"/>
      <c r="B178" s="20"/>
      <c r="C178" s="20"/>
      <c r="D178" s="20"/>
      <c r="E178" s="20"/>
      <c r="F178" s="20"/>
      <c r="G178" s="84"/>
      <c r="H178" s="83"/>
      <c r="I178" s="20"/>
      <c r="J178" s="86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1:35">
      <c r="A179" s="92"/>
      <c r="B179" s="20"/>
      <c r="C179" s="20"/>
      <c r="D179" s="20"/>
      <c r="E179" s="20"/>
      <c r="F179" s="20"/>
      <c r="G179" s="84"/>
      <c r="H179" s="83"/>
      <c r="I179" s="20"/>
      <c r="J179" s="86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1:35">
      <c r="A180" s="92"/>
      <c r="B180" s="20"/>
      <c r="C180" s="20"/>
      <c r="D180" s="20"/>
      <c r="E180" s="20"/>
      <c r="F180" s="20"/>
      <c r="G180" s="84"/>
      <c r="H180" s="83"/>
      <c r="I180" s="20"/>
      <c r="J180" s="86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1:35">
      <c r="A181" s="92"/>
      <c r="B181" s="20"/>
      <c r="C181" s="20"/>
      <c r="D181" s="20"/>
      <c r="E181" s="20"/>
      <c r="F181" s="20"/>
      <c r="G181" s="84"/>
      <c r="H181" s="83"/>
      <c r="I181" s="20"/>
      <c r="J181" s="86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1:35">
      <c r="A182" s="92"/>
      <c r="B182" s="20"/>
      <c r="C182" s="20"/>
      <c r="D182" s="20"/>
      <c r="E182" s="20"/>
      <c r="F182" s="20"/>
      <c r="G182" s="84"/>
      <c r="H182" s="83"/>
      <c r="I182" s="20"/>
      <c r="J182" s="86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>
      <c r="A183" s="92"/>
      <c r="B183" s="20"/>
      <c r="C183" s="20"/>
      <c r="D183" s="20"/>
      <c r="E183" s="20"/>
      <c r="F183" s="20"/>
      <c r="G183" s="84"/>
      <c r="H183" s="83"/>
      <c r="I183" s="20"/>
      <c r="J183" s="86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>
      <c r="A184" s="92"/>
      <c r="B184" s="20"/>
      <c r="C184" s="20"/>
      <c r="D184" s="20"/>
      <c r="E184" s="20"/>
      <c r="F184" s="20"/>
      <c r="G184" s="84"/>
      <c r="H184" s="83"/>
      <c r="I184" s="20"/>
      <c r="J184" s="86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1:35">
      <c r="A185" s="92"/>
      <c r="B185" s="20"/>
      <c r="C185" s="20"/>
      <c r="D185" s="20"/>
      <c r="E185" s="20"/>
      <c r="F185" s="20"/>
      <c r="G185" s="84"/>
      <c r="H185" s="83"/>
      <c r="I185" s="20"/>
      <c r="J185" s="86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>
      <c r="A186" s="92"/>
      <c r="B186" s="20"/>
      <c r="C186" s="20"/>
      <c r="D186" s="20"/>
      <c r="E186" s="20"/>
      <c r="F186" s="20"/>
      <c r="G186" s="84"/>
      <c r="H186" s="83"/>
      <c r="I186" s="20"/>
      <c r="J186" s="86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1:35">
      <c r="A187" s="92"/>
      <c r="B187" s="20"/>
      <c r="C187" s="20"/>
      <c r="D187" s="20"/>
      <c r="E187" s="20"/>
      <c r="F187" s="20"/>
      <c r="G187" s="84"/>
      <c r="H187" s="83"/>
      <c r="I187" s="20"/>
      <c r="J187" s="86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>
      <c r="A188" s="92"/>
      <c r="B188" s="20"/>
      <c r="C188" s="20"/>
      <c r="D188" s="20"/>
      <c r="E188" s="20"/>
      <c r="F188" s="20"/>
      <c r="G188" s="84"/>
      <c r="H188" s="83"/>
      <c r="I188" s="20"/>
      <c r="J188" s="86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1:35">
      <c r="A189" s="92"/>
      <c r="B189" s="20"/>
      <c r="C189" s="20"/>
      <c r="D189" s="20"/>
      <c r="E189" s="20"/>
      <c r="F189" s="20"/>
      <c r="G189" s="84"/>
      <c r="H189" s="83"/>
      <c r="I189" s="20"/>
      <c r="J189" s="86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>
      <c r="A190" s="92"/>
      <c r="B190" s="20"/>
      <c r="C190" s="20"/>
      <c r="D190" s="20"/>
      <c r="E190" s="20"/>
      <c r="F190" s="20"/>
      <c r="G190" s="84"/>
      <c r="H190" s="83"/>
      <c r="I190" s="20"/>
      <c r="J190" s="86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>
      <c r="A191" s="92"/>
      <c r="B191" s="20"/>
      <c r="C191" s="20"/>
      <c r="D191" s="20"/>
      <c r="E191" s="20"/>
      <c r="F191" s="20"/>
      <c r="G191" s="84"/>
      <c r="H191" s="83"/>
      <c r="I191" s="20"/>
      <c r="J191" s="86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>
      <c r="A192" s="92"/>
      <c r="B192" s="20"/>
      <c r="C192" s="20"/>
      <c r="D192" s="20"/>
      <c r="E192" s="20"/>
      <c r="F192" s="20"/>
      <c r="G192" s="84"/>
      <c r="H192" s="83"/>
      <c r="I192" s="20"/>
      <c r="J192" s="86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>
      <c r="A193" s="92"/>
      <c r="B193" s="20"/>
      <c r="C193" s="20"/>
      <c r="D193" s="20"/>
      <c r="E193" s="20"/>
      <c r="F193" s="20"/>
      <c r="G193" s="84"/>
      <c r="H193" s="83"/>
      <c r="I193" s="20"/>
      <c r="J193" s="86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>
      <c r="A194" s="92"/>
      <c r="B194" s="20"/>
      <c r="C194" s="20"/>
      <c r="D194" s="20"/>
      <c r="E194" s="20"/>
      <c r="F194" s="20"/>
      <c r="G194" s="84"/>
      <c r="H194" s="83"/>
      <c r="I194" s="20"/>
      <c r="J194" s="86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>
      <c r="A195" s="92"/>
      <c r="B195" s="20"/>
      <c r="C195" s="20"/>
      <c r="D195" s="20"/>
      <c r="E195" s="20"/>
      <c r="F195" s="20"/>
      <c r="G195" s="84"/>
      <c r="H195" s="83"/>
      <c r="I195" s="20"/>
      <c r="J195" s="86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>
      <c r="A196" s="92"/>
      <c r="B196" s="20"/>
      <c r="C196" s="20"/>
      <c r="D196" s="20"/>
      <c r="E196" s="20"/>
      <c r="F196" s="20"/>
      <c r="G196" s="84"/>
      <c r="H196" s="83"/>
      <c r="I196" s="20"/>
      <c r="J196" s="86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>
      <c r="A197" s="92"/>
      <c r="B197" s="20"/>
      <c r="C197" s="20"/>
      <c r="D197" s="20"/>
      <c r="E197" s="20"/>
      <c r="F197" s="20"/>
      <c r="G197" s="84"/>
      <c r="H197" s="83"/>
      <c r="I197" s="20"/>
      <c r="J197" s="86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>
      <c r="A198" s="92"/>
      <c r="B198" s="20"/>
      <c r="C198" s="20"/>
      <c r="D198" s="20"/>
      <c r="E198" s="20"/>
      <c r="F198" s="20"/>
      <c r="G198" s="84"/>
      <c r="H198" s="83"/>
      <c r="I198" s="20"/>
      <c r="J198" s="86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>
      <c r="A199" s="92"/>
      <c r="B199" s="20"/>
      <c r="C199" s="20"/>
      <c r="D199" s="20"/>
      <c r="E199" s="20"/>
      <c r="F199" s="20"/>
      <c r="G199" s="84"/>
      <c r="H199" s="83"/>
      <c r="I199" s="20"/>
      <c r="J199" s="86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>
      <c r="A200" s="92"/>
      <c r="B200" s="20"/>
      <c r="C200" s="20"/>
      <c r="D200" s="20"/>
      <c r="E200" s="20"/>
      <c r="F200" s="20"/>
      <c r="G200" s="84"/>
      <c r="H200" s="83"/>
      <c r="I200" s="20"/>
      <c r="J200" s="86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>
      <c r="A201" s="92"/>
      <c r="B201" s="20"/>
      <c r="C201" s="20"/>
      <c r="D201" s="20"/>
      <c r="E201" s="20"/>
      <c r="F201" s="20"/>
      <c r="G201" s="84"/>
      <c r="H201" s="83"/>
      <c r="I201" s="20"/>
      <c r="J201" s="86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>
      <c r="A202" s="92"/>
      <c r="B202" s="20"/>
      <c r="C202" s="20"/>
      <c r="D202" s="20"/>
      <c r="E202" s="20"/>
      <c r="F202" s="20"/>
      <c r="G202" s="84"/>
      <c r="H202" s="83"/>
      <c r="I202" s="20"/>
      <c r="J202" s="86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>
      <c r="A203" s="92"/>
      <c r="B203" s="20"/>
      <c r="C203" s="20"/>
      <c r="D203" s="20"/>
      <c r="E203" s="20"/>
      <c r="F203" s="20"/>
      <c r="G203" s="84"/>
      <c r="H203" s="83"/>
      <c r="I203" s="20"/>
      <c r="J203" s="86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>
      <c r="A204" s="92"/>
      <c r="B204" s="20"/>
      <c r="C204" s="20"/>
      <c r="D204" s="20"/>
      <c r="E204" s="20"/>
      <c r="F204" s="20"/>
      <c r="G204" s="84"/>
      <c r="H204" s="83"/>
      <c r="I204" s="20"/>
      <c r="J204" s="86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>
      <c r="A205" s="92"/>
      <c r="B205" s="20"/>
      <c r="C205" s="20"/>
      <c r="D205" s="20"/>
      <c r="E205" s="20"/>
      <c r="F205" s="20"/>
      <c r="G205" s="84"/>
      <c r="H205" s="83"/>
      <c r="I205" s="20"/>
      <c r="J205" s="86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>
      <c r="A206" s="92"/>
      <c r="B206" s="20"/>
      <c r="C206" s="20"/>
      <c r="D206" s="20"/>
      <c r="E206" s="20"/>
      <c r="F206" s="20"/>
      <c r="G206" s="84"/>
      <c r="H206" s="83"/>
      <c r="I206" s="20"/>
      <c r="J206" s="86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>
      <c r="A207" s="92"/>
      <c r="B207" s="20"/>
      <c r="C207" s="20"/>
      <c r="D207" s="20"/>
      <c r="E207" s="20"/>
      <c r="F207" s="20"/>
      <c r="G207" s="84"/>
      <c r="H207" s="83"/>
      <c r="I207" s="20"/>
      <c r="J207" s="86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>
      <c r="A208" s="92"/>
      <c r="B208" s="20"/>
      <c r="C208" s="20"/>
      <c r="D208" s="20"/>
      <c r="E208" s="20"/>
      <c r="F208" s="20"/>
      <c r="G208" s="84"/>
      <c r="H208" s="83"/>
      <c r="I208" s="20"/>
      <c r="J208" s="86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>
      <c r="A209" s="92"/>
      <c r="B209" s="20"/>
      <c r="C209" s="20"/>
      <c r="D209" s="20"/>
      <c r="E209" s="20"/>
      <c r="F209" s="20"/>
      <c r="G209" s="84"/>
      <c r="H209" s="83"/>
      <c r="I209" s="20"/>
      <c r="J209" s="86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>
      <c r="A210" s="92"/>
      <c r="B210" s="20"/>
      <c r="C210" s="20"/>
      <c r="D210" s="20"/>
      <c r="E210" s="20"/>
      <c r="F210" s="20"/>
      <c r="G210" s="84"/>
      <c r="H210" s="83"/>
      <c r="I210" s="20"/>
      <c r="J210" s="86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>
      <c r="A211" s="92"/>
      <c r="B211" s="20"/>
      <c r="C211" s="20"/>
      <c r="D211" s="20"/>
      <c r="E211" s="20"/>
      <c r="F211" s="20"/>
      <c r="G211" s="84"/>
      <c r="H211" s="83"/>
      <c r="I211" s="20"/>
      <c r="J211" s="86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>
      <c r="A212" s="92"/>
      <c r="B212" s="20"/>
      <c r="C212" s="20"/>
      <c r="D212" s="20"/>
      <c r="E212" s="20"/>
      <c r="F212" s="20"/>
      <c r="G212" s="84"/>
      <c r="H212" s="83"/>
      <c r="I212" s="20"/>
      <c r="J212" s="86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>
      <c r="A213" s="92"/>
      <c r="B213" s="20"/>
      <c r="C213" s="20"/>
      <c r="D213" s="20"/>
      <c r="E213" s="20"/>
      <c r="F213" s="20"/>
      <c r="G213" s="84"/>
      <c r="H213" s="83"/>
      <c r="I213" s="20"/>
      <c r="J213" s="86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>
      <c r="A214" s="92"/>
      <c r="B214" s="20"/>
      <c r="C214" s="20"/>
      <c r="D214" s="20"/>
      <c r="E214" s="20"/>
      <c r="F214" s="20"/>
      <c r="G214" s="84"/>
      <c r="H214" s="83"/>
      <c r="I214" s="20"/>
      <c r="J214" s="86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>
      <c r="A215" s="92"/>
      <c r="B215" s="20"/>
      <c r="C215" s="20"/>
      <c r="D215" s="20"/>
      <c r="E215" s="20"/>
      <c r="F215" s="20"/>
      <c r="G215" s="84"/>
      <c r="H215" s="83"/>
      <c r="I215" s="20"/>
      <c r="J215" s="86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>
      <c r="A216" s="92"/>
      <c r="B216" s="20"/>
      <c r="C216" s="20"/>
      <c r="D216" s="20"/>
      <c r="E216" s="20"/>
      <c r="F216" s="20"/>
      <c r="G216" s="84"/>
      <c r="H216" s="83"/>
      <c r="I216" s="20"/>
      <c r="J216" s="86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>
      <c r="A217" s="92"/>
      <c r="B217" s="20"/>
      <c r="C217" s="20"/>
      <c r="D217" s="20"/>
      <c r="E217" s="20"/>
      <c r="F217" s="20"/>
      <c r="G217" s="84"/>
      <c r="H217" s="83"/>
      <c r="I217" s="20"/>
      <c r="J217" s="86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>
      <c r="A218" s="92"/>
      <c r="B218" s="20"/>
      <c r="C218" s="20"/>
      <c r="D218" s="20"/>
      <c r="E218" s="20"/>
      <c r="F218" s="20"/>
      <c r="G218" s="84"/>
      <c r="H218" s="83"/>
      <c r="I218" s="20"/>
      <c r="J218" s="86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>
      <c r="A219" s="92"/>
      <c r="B219" s="20"/>
      <c r="C219" s="20"/>
      <c r="D219" s="20"/>
      <c r="E219" s="20"/>
      <c r="F219" s="20"/>
      <c r="G219" s="84"/>
      <c r="H219" s="83"/>
      <c r="I219" s="20"/>
      <c r="J219" s="86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>
      <c r="A220" s="92"/>
      <c r="B220" s="20"/>
      <c r="C220" s="20"/>
      <c r="D220" s="20"/>
      <c r="E220" s="20"/>
      <c r="F220" s="20"/>
      <c r="G220" s="84"/>
      <c r="H220" s="83"/>
      <c r="I220" s="20"/>
      <c r="J220" s="86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>
      <c r="A221" s="92"/>
      <c r="B221" s="20"/>
      <c r="C221" s="20"/>
      <c r="D221" s="20"/>
      <c r="E221" s="20"/>
      <c r="F221" s="20"/>
      <c r="G221" s="84"/>
      <c r="H221" s="83"/>
      <c r="I221" s="20"/>
      <c r="J221" s="86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>
      <c r="A222" s="92"/>
      <c r="B222" s="20"/>
      <c r="C222" s="20"/>
      <c r="D222" s="20"/>
      <c r="E222" s="20"/>
      <c r="F222" s="20"/>
      <c r="G222" s="84"/>
      <c r="H222" s="83"/>
      <c r="I222" s="20"/>
      <c r="J222" s="86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>
      <c r="A223" s="92"/>
      <c r="B223" s="20"/>
      <c r="C223" s="20"/>
      <c r="D223" s="20"/>
      <c r="E223" s="20"/>
      <c r="F223" s="20"/>
      <c r="G223" s="84"/>
      <c r="H223" s="83"/>
      <c r="I223" s="20"/>
      <c r="J223" s="86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>
      <c r="A224" s="92"/>
      <c r="B224" s="20"/>
      <c r="C224" s="20"/>
      <c r="D224" s="20"/>
      <c r="E224" s="20"/>
      <c r="F224" s="20"/>
      <c r="G224" s="84"/>
      <c r="H224" s="83"/>
      <c r="I224" s="20"/>
      <c r="J224" s="86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>
      <c r="A225" s="92"/>
      <c r="B225" s="20"/>
      <c r="C225" s="20"/>
      <c r="D225" s="20"/>
      <c r="E225" s="20"/>
      <c r="F225" s="20"/>
      <c r="G225" s="84"/>
      <c r="H225" s="83"/>
      <c r="I225" s="20"/>
      <c r="J225" s="86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35">
      <c r="A226" s="92"/>
      <c r="B226" s="20"/>
      <c r="C226" s="20"/>
      <c r="D226" s="20"/>
      <c r="E226" s="20"/>
      <c r="F226" s="20"/>
      <c r="G226" s="84"/>
      <c r="H226" s="83"/>
      <c r="I226" s="20"/>
      <c r="J226" s="86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spans="1:35">
      <c r="A227" s="92"/>
      <c r="B227" s="20"/>
      <c r="C227" s="20"/>
      <c r="D227" s="20"/>
      <c r="E227" s="20"/>
      <c r="F227" s="20"/>
      <c r="G227" s="84"/>
      <c r="H227" s="83"/>
      <c r="I227" s="20"/>
      <c r="J227" s="86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spans="1:35">
      <c r="A228" s="92"/>
      <c r="B228" s="20"/>
      <c r="C228" s="20"/>
      <c r="D228" s="20"/>
      <c r="E228" s="20"/>
      <c r="F228" s="20"/>
      <c r="G228" s="84"/>
      <c r="H228" s="83"/>
      <c r="I228" s="20"/>
      <c r="J228" s="86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spans="1:35">
      <c r="A229" s="92"/>
      <c r="B229" s="20"/>
      <c r="C229" s="20"/>
      <c r="D229" s="20"/>
      <c r="E229" s="20"/>
      <c r="F229" s="20"/>
      <c r="G229" s="84"/>
      <c r="H229" s="83"/>
      <c r="I229" s="20"/>
      <c r="J229" s="86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spans="1:35">
      <c r="A230" s="92"/>
      <c r="B230" s="20"/>
      <c r="C230" s="20"/>
      <c r="D230" s="20"/>
      <c r="E230" s="20"/>
      <c r="F230" s="20"/>
      <c r="G230" s="84"/>
      <c r="H230" s="83"/>
      <c r="I230" s="20"/>
      <c r="J230" s="86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>
      <c r="A231" s="92"/>
      <c r="B231" s="20"/>
      <c r="C231" s="20"/>
      <c r="D231" s="20"/>
      <c r="E231" s="20"/>
      <c r="F231" s="20"/>
      <c r="G231" s="84"/>
      <c r="H231" s="83"/>
      <c r="I231" s="20"/>
      <c r="J231" s="86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spans="1:35">
      <c r="A232" s="92"/>
      <c r="B232" s="20"/>
      <c r="C232" s="20"/>
      <c r="D232" s="20"/>
      <c r="E232" s="20"/>
      <c r="F232" s="20"/>
      <c r="G232" s="84"/>
      <c r="H232" s="83"/>
      <c r="I232" s="20"/>
      <c r="J232" s="86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spans="1:35">
      <c r="A233" s="92"/>
      <c r="B233" s="20"/>
      <c r="C233" s="20"/>
      <c r="D233" s="20"/>
      <c r="E233" s="20"/>
      <c r="F233" s="20"/>
      <c r="G233" s="84"/>
      <c r="H233" s="83"/>
      <c r="I233" s="20"/>
      <c r="J233" s="86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spans="1:35">
      <c r="A234" s="92"/>
      <c r="B234" s="20"/>
      <c r="C234" s="20"/>
      <c r="D234" s="20"/>
      <c r="E234" s="20"/>
      <c r="F234" s="20"/>
      <c r="G234" s="84"/>
      <c r="H234" s="83"/>
      <c r="I234" s="20"/>
      <c r="J234" s="86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>
      <c r="A235" s="92"/>
      <c r="B235" s="20"/>
      <c r="C235" s="20"/>
      <c r="D235" s="20"/>
      <c r="E235" s="20"/>
      <c r="F235" s="20"/>
      <c r="G235" s="84"/>
      <c r="H235" s="83"/>
      <c r="I235" s="20"/>
      <c r="J235" s="86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spans="1:35">
      <c r="A236" s="92"/>
      <c r="B236" s="20"/>
      <c r="C236" s="20"/>
      <c r="D236" s="20"/>
      <c r="E236" s="20"/>
      <c r="F236" s="20"/>
      <c r="G236" s="84"/>
      <c r="H236" s="83"/>
      <c r="I236" s="20"/>
      <c r="J236" s="86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>
      <c r="A237" s="92"/>
      <c r="B237" s="20"/>
      <c r="C237" s="20"/>
      <c r="D237" s="20"/>
      <c r="E237" s="20"/>
      <c r="F237" s="20"/>
      <c r="G237" s="84"/>
      <c r="H237" s="83"/>
      <c r="I237" s="20"/>
      <c r="J237" s="86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spans="1:35">
      <c r="A238" s="92"/>
      <c r="B238" s="20"/>
      <c r="C238" s="20"/>
      <c r="D238" s="20"/>
      <c r="E238" s="20"/>
      <c r="F238" s="20"/>
      <c r="G238" s="84"/>
      <c r="H238" s="83"/>
      <c r="I238" s="20"/>
      <c r="J238" s="86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>
      <c r="A239" s="92"/>
      <c r="B239" s="20"/>
      <c r="C239" s="20"/>
      <c r="D239" s="20"/>
      <c r="E239" s="20"/>
      <c r="F239" s="20"/>
      <c r="G239" s="84"/>
      <c r="H239" s="83"/>
      <c r="I239" s="20"/>
      <c r="J239" s="86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spans="1:35">
      <c r="A240" s="92"/>
      <c r="B240" s="20"/>
      <c r="C240" s="20"/>
      <c r="D240" s="20"/>
      <c r="E240" s="20"/>
      <c r="F240" s="20"/>
      <c r="G240" s="84"/>
      <c r="H240" s="83"/>
      <c r="I240" s="20"/>
      <c r="J240" s="86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spans="1:35">
      <c r="A241" s="92"/>
      <c r="B241" s="20"/>
      <c r="C241" s="20"/>
      <c r="D241" s="20"/>
      <c r="E241" s="20"/>
      <c r="F241" s="20"/>
      <c r="G241" s="84"/>
      <c r="H241" s="83"/>
      <c r="I241" s="20"/>
      <c r="J241" s="86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spans="1:35">
      <c r="A242" s="92"/>
      <c r="B242" s="20"/>
      <c r="C242" s="20"/>
      <c r="D242" s="20"/>
      <c r="E242" s="20"/>
      <c r="F242" s="20"/>
      <c r="G242" s="84"/>
      <c r="H242" s="83"/>
      <c r="I242" s="20"/>
      <c r="J242" s="86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1:35">
      <c r="A243" s="92"/>
      <c r="B243" s="20"/>
      <c r="C243" s="20"/>
      <c r="D243" s="20"/>
      <c r="E243" s="20"/>
      <c r="F243" s="20"/>
      <c r="G243" s="84"/>
      <c r="H243" s="83"/>
      <c r="I243" s="20"/>
      <c r="J243" s="86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>
      <c r="A244" s="92"/>
      <c r="B244" s="20"/>
      <c r="C244" s="20"/>
      <c r="D244" s="20"/>
      <c r="E244" s="20"/>
      <c r="F244" s="20"/>
      <c r="G244" s="84"/>
      <c r="H244" s="83"/>
      <c r="I244" s="20"/>
      <c r="J244" s="86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>
      <c r="A245" s="92"/>
      <c r="B245" s="20"/>
      <c r="C245" s="20"/>
      <c r="D245" s="20"/>
      <c r="E245" s="20"/>
      <c r="F245" s="20"/>
      <c r="G245" s="84"/>
      <c r="H245" s="83"/>
      <c r="I245" s="20"/>
      <c r="J245" s="86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>
      <c r="A246" s="92"/>
      <c r="B246" s="20"/>
      <c r="C246" s="20"/>
      <c r="D246" s="20"/>
      <c r="E246" s="20"/>
      <c r="F246" s="20"/>
      <c r="G246" s="84"/>
      <c r="H246" s="83"/>
      <c r="I246" s="20"/>
      <c r="J246" s="86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>
      <c r="A247" s="92"/>
      <c r="B247" s="20"/>
      <c r="C247" s="20"/>
      <c r="D247" s="20"/>
      <c r="E247" s="20"/>
      <c r="F247" s="20"/>
      <c r="G247" s="84"/>
      <c r="H247" s="83"/>
      <c r="I247" s="20"/>
      <c r="J247" s="86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>
      <c r="A248" s="92"/>
      <c r="B248" s="20"/>
      <c r="C248" s="20"/>
      <c r="D248" s="20"/>
      <c r="E248" s="20"/>
      <c r="F248" s="20"/>
      <c r="G248" s="84"/>
      <c r="H248" s="83"/>
      <c r="I248" s="20"/>
      <c r="J248" s="86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>
      <c r="A249" s="92"/>
      <c r="B249" s="20"/>
      <c r="C249" s="20"/>
      <c r="D249" s="20"/>
      <c r="E249" s="20"/>
      <c r="F249" s="20"/>
      <c r="G249" s="84"/>
      <c r="H249" s="83"/>
      <c r="I249" s="20"/>
      <c r="J249" s="86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>
      <c r="A250" s="92"/>
      <c r="B250" s="20"/>
      <c r="C250" s="20"/>
      <c r="D250" s="20"/>
      <c r="E250" s="20"/>
      <c r="F250" s="20"/>
      <c r="G250" s="84"/>
      <c r="H250" s="83"/>
      <c r="I250" s="20"/>
      <c r="J250" s="86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>
      <c r="A251" s="92"/>
      <c r="B251" s="20"/>
      <c r="C251" s="20"/>
      <c r="D251" s="20"/>
      <c r="E251" s="20"/>
      <c r="F251" s="20"/>
      <c r="G251" s="84"/>
      <c r="H251" s="83"/>
      <c r="I251" s="20"/>
      <c r="J251" s="86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>
      <c r="A252" s="92"/>
      <c r="B252" s="20"/>
      <c r="C252" s="20"/>
      <c r="D252" s="20"/>
      <c r="E252" s="20"/>
      <c r="F252" s="20"/>
      <c r="G252" s="84"/>
      <c r="H252" s="83"/>
      <c r="I252" s="20"/>
      <c r="J252" s="86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>
      <c r="A253" s="92"/>
      <c r="B253" s="20"/>
      <c r="C253" s="20"/>
      <c r="D253" s="20"/>
      <c r="E253" s="20"/>
      <c r="F253" s="20"/>
      <c r="G253" s="84"/>
      <c r="H253" s="83"/>
      <c r="I253" s="20"/>
      <c r="J253" s="86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>
      <c r="A254" s="92"/>
      <c r="B254" s="20"/>
      <c r="C254" s="20"/>
      <c r="D254" s="20"/>
      <c r="E254" s="20"/>
      <c r="F254" s="20"/>
      <c r="G254" s="84"/>
      <c r="H254" s="83"/>
      <c r="I254" s="20"/>
      <c r="J254" s="86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>
      <c r="A255" s="92"/>
      <c r="B255" s="20"/>
      <c r="C255" s="20"/>
      <c r="D255" s="20"/>
      <c r="E255" s="20"/>
      <c r="F255" s="20"/>
      <c r="G255" s="84"/>
      <c r="H255" s="83"/>
      <c r="I255" s="20"/>
      <c r="J255" s="86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>
      <c r="A256" s="92"/>
      <c r="B256" s="20"/>
      <c r="C256" s="20"/>
      <c r="D256" s="20"/>
      <c r="E256" s="20"/>
      <c r="F256" s="20"/>
      <c r="G256" s="84"/>
      <c r="H256" s="83"/>
      <c r="I256" s="20"/>
      <c r="J256" s="86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>
      <c r="A257" s="92"/>
      <c r="B257" s="20"/>
      <c r="C257" s="20"/>
      <c r="D257" s="20"/>
      <c r="E257" s="20"/>
      <c r="F257" s="20"/>
      <c r="G257" s="84"/>
      <c r="H257" s="83"/>
      <c r="I257" s="20"/>
      <c r="J257" s="86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>
      <c r="A258" s="92"/>
      <c r="B258" s="20"/>
      <c r="C258" s="20"/>
      <c r="D258" s="20"/>
      <c r="E258" s="20"/>
      <c r="F258" s="20"/>
      <c r="G258" s="84"/>
      <c r="H258" s="83"/>
      <c r="I258" s="20"/>
      <c r="J258" s="86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>
      <c r="A259" s="92"/>
      <c r="B259" s="20"/>
      <c r="C259" s="20"/>
      <c r="D259" s="20"/>
      <c r="E259" s="20"/>
      <c r="F259" s="20"/>
      <c r="G259" s="84"/>
      <c r="H259" s="83"/>
      <c r="I259" s="20"/>
      <c r="J259" s="86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>
      <c r="A260" s="92"/>
      <c r="B260" s="20"/>
      <c r="C260" s="20"/>
      <c r="D260" s="20"/>
      <c r="E260" s="20"/>
      <c r="F260" s="20"/>
      <c r="G260" s="84"/>
      <c r="H260" s="83"/>
      <c r="I260" s="20"/>
      <c r="J260" s="86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>
      <c r="A261" s="92"/>
      <c r="B261" s="20"/>
      <c r="C261" s="20"/>
      <c r="D261" s="20"/>
      <c r="E261" s="20"/>
      <c r="F261" s="20"/>
      <c r="G261" s="84"/>
      <c r="H261" s="83"/>
      <c r="I261" s="20"/>
      <c r="J261" s="86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>
      <c r="A262" s="92"/>
      <c r="B262" s="20"/>
      <c r="C262" s="20"/>
      <c r="D262" s="20"/>
      <c r="E262" s="20"/>
      <c r="F262" s="20"/>
      <c r="G262" s="84"/>
      <c r="H262" s="83"/>
      <c r="I262" s="20"/>
      <c r="J262" s="86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>
      <c r="A263" s="92"/>
      <c r="B263" s="20"/>
      <c r="C263" s="20"/>
      <c r="D263" s="20"/>
      <c r="E263" s="20"/>
      <c r="F263" s="20"/>
      <c r="G263" s="84"/>
      <c r="H263" s="83"/>
      <c r="I263" s="20"/>
      <c r="J263" s="86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>
      <c r="A264" s="92"/>
      <c r="B264" s="20"/>
      <c r="C264" s="20"/>
      <c r="D264" s="20"/>
      <c r="E264" s="20"/>
      <c r="F264" s="20"/>
      <c r="G264" s="84"/>
      <c r="H264" s="83"/>
      <c r="I264" s="20"/>
      <c r="J264" s="86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>
      <c r="A265" s="92"/>
      <c r="B265" s="20"/>
      <c r="C265" s="20"/>
      <c r="D265" s="20"/>
      <c r="E265" s="20"/>
      <c r="F265" s="20"/>
      <c r="G265" s="84"/>
      <c r="H265" s="83"/>
      <c r="I265" s="20"/>
      <c r="J265" s="86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>
      <c r="A266" s="92"/>
      <c r="B266" s="20"/>
      <c r="C266" s="20"/>
      <c r="D266" s="20"/>
      <c r="E266" s="20"/>
      <c r="F266" s="20"/>
      <c r="G266" s="84"/>
      <c r="H266" s="83"/>
      <c r="I266" s="20"/>
      <c r="J266" s="86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>
      <c r="A267" s="92"/>
      <c r="B267" s="20"/>
      <c r="C267" s="20"/>
      <c r="D267" s="20"/>
      <c r="E267" s="20"/>
      <c r="F267" s="20"/>
      <c r="G267" s="84"/>
      <c r="H267" s="83"/>
      <c r="I267" s="20"/>
      <c r="J267" s="86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>
      <c r="A268" s="92"/>
      <c r="B268" s="20"/>
      <c r="C268" s="20"/>
      <c r="D268" s="20"/>
      <c r="E268" s="20"/>
      <c r="F268" s="20"/>
      <c r="G268" s="84"/>
      <c r="H268" s="83"/>
      <c r="I268" s="20"/>
      <c r="J268" s="86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>
      <c r="A269" s="92"/>
      <c r="B269" s="20"/>
      <c r="C269" s="20"/>
      <c r="D269" s="20"/>
      <c r="E269" s="20"/>
      <c r="F269" s="20"/>
      <c r="G269" s="84"/>
      <c r="H269" s="83"/>
      <c r="I269" s="20"/>
      <c r="J269" s="86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>
      <c r="A270" s="92"/>
      <c r="B270" s="20"/>
      <c r="C270" s="20"/>
      <c r="D270" s="20"/>
      <c r="E270" s="20"/>
      <c r="F270" s="20"/>
      <c r="G270" s="84"/>
      <c r="H270" s="83"/>
      <c r="I270" s="20"/>
      <c r="J270" s="86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>
      <c r="A271" s="92"/>
      <c r="B271" s="20"/>
      <c r="C271" s="20"/>
      <c r="D271" s="20"/>
      <c r="E271" s="20"/>
      <c r="F271" s="20"/>
      <c r="G271" s="84"/>
      <c r="H271" s="83"/>
      <c r="I271" s="20"/>
      <c r="J271" s="86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>
      <c r="A272" s="92"/>
      <c r="B272" s="20"/>
      <c r="C272" s="20"/>
      <c r="D272" s="20"/>
      <c r="E272" s="20"/>
      <c r="F272" s="20"/>
      <c r="G272" s="84"/>
      <c r="H272" s="83"/>
      <c r="I272" s="20"/>
      <c r="J272" s="86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>
      <c r="A273" s="92"/>
      <c r="B273" s="20"/>
      <c r="C273" s="20"/>
      <c r="D273" s="20"/>
      <c r="E273" s="20"/>
      <c r="F273" s="20"/>
      <c r="G273" s="84"/>
      <c r="H273" s="83"/>
      <c r="I273" s="20"/>
      <c r="J273" s="86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>
      <c r="A274" s="92"/>
      <c r="B274" s="20"/>
      <c r="C274" s="20"/>
      <c r="D274" s="20"/>
      <c r="E274" s="20"/>
      <c r="F274" s="20"/>
      <c r="G274" s="84"/>
      <c r="H274" s="83"/>
      <c r="I274" s="20"/>
      <c r="J274" s="86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>
      <c r="A275" s="92"/>
      <c r="B275" s="20"/>
      <c r="C275" s="20"/>
      <c r="D275" s="20"/>
      <c r="E275" s="20"/>
      <c r="F275" s="20"/>
      <c r="G275" s="84"/>
      <c r="H275" s="83"/>
      <c r="I275" s="20"/>
      <c r="J275" s="86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>
      <c r="A276" s="92"/>
      <c r="B276" s="20"/>
      <c r="C276" s="20"/>
      <c r="D276" s="20"/>
      <c r="E276" s="20"/>
      <c r="F276" s="20"/>
      <c r="G276" s="84"/>
      <c r="H276" s="83"/>
      <c r="I276" s="20"/>
      <c r="J276" s="86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>
      <c r="A277" s="92"/>
      <c r="B277" s="20"/>
      <c r="C277" s="20"/>
      <c r="D277" s="20"/>
      <c r="E277" s="20"/>
      <c r="F277" s="20"/>
      <c r="G277" s="84"/>
      <c r="H277" s="83"/>
      <c r="I277" s="20"/>
      <c r="J277" s="86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>
      <c r="A278" s="92"/>
      <c r="B278" s="20"/>
      <c r="C278" s="20"/>
      <c r="D278" s="20"/>
      <c r="E278" s="20"/>
      <c r="F278" s="20"/>
      <c r="G278" s="84"/>
      <c r="H278" s="83"/>
      <c r="I278" s="20"/>
      <c r="J278" s="86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>
      <c r="A279" s="92"/>
      <c r="B279" s="20"/>
      <c r="C279" s="20"/>
      <c r="D279" s="20"/>
      <c r="E279" s="20"/>
      <c r="F279" s="20"/>
      <c r="G279" s="84"/>
      <c r="H279" s="83"/>
      <c r="I279" s="20"/>
      <c r="J279" s="86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>
      <c r="A280" s="92"/>
      <c r="B280" s="20"/>
      <c r="C280" s="20"/>
      <c r="D280" s="20"/>
      <c r="E280" s="20"/>
      <c r="F280" s="20"/>
      <c r="G280" s="84"/>
      <c r="H280" s="83"/>
      <c r="I280" s="20"/>
      <c r="J280" s="86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>
      <c r="A281" s="92"/>
      <c r="B281" s="20"/>
      <c r="C281" s="20"/>
      <c r="D281" s="20"/>
      <c r="E281" s="20"/>
      <c r="F281" s="20"/>
      <c r="G281" s="84"/>
      <c r="H281" s="83"/>
      <c r="I281" s="20"/>
      <c r="J281" s="86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>
      <c r="A282" s="92"/>
      <c r="B282" s="20"/>
      <c r="C282" s="20"/>
      <c r="D282" s="20"/>
      <c r="E282" s="20"/>
      <c r="F282" s="20"/>
      <c r="G282" s="84"/>
      <c r="H282" s="83"/>
      <c r="I282" s="20"/>
      <c r="J282" s="86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>
      <c r="A283" s="92"/>
      <c r="B283" s="20"/>
      <c r="C283" s="20"/>
      <c r="D283" s="20"/>
      <c r="E283" s="20"/>
      <c r="F283" s="20"/>
      <c r="G283" s="84"/>
      <c r="H283" s="83"/>
      <c r="I283" s="20"/>
      <c r="J283" s="86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>
      <c r="A284" s="92"/>
      <c r="B284" s="20"/>
      <c r="C284" s="20"/>
      <c r="D284" s="20"/>
      <c r="E284" s="20"/>
      <c r="F284" s="20"/>
      <c r="G284" s="84"/>
      <c r="H284" s="83"/>
      <c r="I284" s="20"/>
      <c r="J284" s="86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>
      <c r="A285" s="92"/>
      <c r="B285" s="20"/>
      <c r="C285" s="20"/>
      <c r="D285" s="20"/>
      <c r="E285" s="20"/>
      <c r="F285" s="20"/>
      <c r="G285" s="84"/>
      <c r="H285" s="83"/>
      <c r="I285" s="20"/>
      <c r="J285" s="86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>
      <c r="A286" s="92"/>
      <c r="B286" s="20"/>
      <c r="C286" s="20"/>
      <c r="D286" s="20"/>
      <c r="E286" s="20"/>
      <c r="F286" s="20"/>
      <c r="G286" s="84"/>
      <c r="H286" s="83"/>
      <c r="I286" s="20"/>
      <c r="J286" s="86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>
      <c r="A287" s="92"/>
      <c r="B287" s="20"/>
      <c r="C287" s="20"/>
      <c r="D287" s="20"/>
      <c r="E287" s="20"/>
      <c r="F287" s="20"/>
      <c r="G287" s="84"/>
      <c r="H287" s="83"/>
      <c r="I287" s="20"/>
      <c r="J287" s="86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>
      <c r="A288" s="92"/>
      <c r="B288" s="20"/>
      <c r="C288" s="20"/>
      <c r="D288" s="20"/>
      <c r="E288" s="20"/>
      <c r="F288" s="20"/>
      <c r="G288" s="84"/>
      <c r="H288" s="83"/>
      <c r="I288" s="20"/>
      <c r="J288" s="86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>
      <c r="A289" s="92"/>
      <c r="B289" s="20"/>
      <c r="C289" s="20"/>
      <c r="D289" s="20"/>
      <c r="E289" s="20"/>
      <c r="F289" s="20"/>
      <c r="G289" s="84"/>
      <c r="H289" s="83"/>
      <c r="I289" s="20"/>
      <c r="J289" s="86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>
      <c r="A290" s="92"/>
      <c r="B290" s="20"/>
      <c r="C290" s="20"/>
      <c r="D290" s="20"/>
      <c r="E290" s="20"/>
      <c r="F290" s="20"/>
      <c r="G290" s="84"/>
      <c r="H290" s="83"/>
      <c r="I290" s="20"/>
      <c r="J290" s="86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>
      <c r="A291" s="92"/>
      <c r="B291" s="20"/>
      <c r="C291" s="20"/>
      <c r="D291" s="20"/>
      <c r="E291" s="20"/>
      <c r="F291" s="20"/>
      <c r="G291" s="84"/>
      <c r="H291" s="83"/>
      <c r="I291" s="20"/>
      <c r="J291" s="86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>
      <c r="A292" s="92"/>
      <c r="B292" s="20"/>
      <c r="C292" s="20"/>
      <c r="D292" s="20"/>
      <c r="E292" s="20"/>
      <c r="F292" s="20"/>
      <c r="G292" s="84"/>
      <c r="H292" s="83"/>
      <c r="I292" s="20"/>
      <c r="J292" s="86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>
      <c r="A293" s="92"/>
      <c r="B293" s="20"/>
      <c r="C293" s="20"/>
      <c r="D293" s="20"/>
      <c r="E293" s="20"/>
      <c r="F293" s="20"/>
      <c r="G293" s="84"/>
      <c r="H293" s="83"/>
      <c r="I293" s="20"/>
      <c r="J293" s="86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>
      <c r="A294" s="92"/>
      <c r="B294" s="20"/>
      <c r="C294" s="20"/>
      <c r="D294" s="20"/>
      <c r="E294" s="20"/>
      <c r="F294" s="20"/>
      <c r="G294" s="84"/>
      <c r="H294" s="83"/>
      <c r="I294" s="20"/>
      <c r="J294" s="86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>
      <c r="A295" s="92"/>
      <c r="B295" s="20"/>
      <c r="C295" s="20"/>
      <c r="D295" s="20"/>
      <c r="E295" s="20"/>
      <c r="F295" s="20"/>
      <c r="G295" s="84"/>
      <c r="H295" s="83"/>
      <c r="I295" s="20"/>
      <c r="J295" s="86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>
      <c r="A296" s="92"/>
      <c r="B296" s="20"/>
      <c r="C296" s="20"/>
      <c r="D296" s="20"/>
      <c r="E296" s="20"/>
      <c r="F296" s="20"/>
      <c r="G296" s="84"/>
      <c r="H296" s="83"/>
      <c r="I296" s="20"/>
      <c r="J296" s="86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>
      <c r="A297" s="92"/>
      <c r="B297" s="20"/>
      <c r="C297" s="20"/>
      <c r="D297" s="20"/>
      <c r="E297" s="20"/>
      <c r="F297" s="20"/>
      <c r="G297" s="84"/>
      <c r="H297" s="83"/>
      <c r="I297" s="20"/>
      <c r="J297" s="86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>
      <c r="A298" s="92"/>
      <c r="B298" s="20"/>
      <c r="C298" s="20"/>
      <c r="D298" s="20"/>
      <c r="E298" s="20"/>
      <c r="F298" s="20"/>
      <c r="G298" s="84"/>
      <c r="H298" s="83"/>
      <c r="I298" s="20"/>
      <c r="J298" s="86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>
      <c r="A299" s="92"/>
      <c r="B299" s="20"/>
      <c r="C299" s="20"/>
      <c r="D299" s="20"/>
      <c r="E299" s="20"/>
      <c r="F299" s="20"/>
      <c r="G299" s="84"/>
      <c r="H299" s="83"/>
      <c r="I299" s="20"/>
      <c r="J299" s="86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>
      <c r="A300" s="92"/>
      <c r="B300" s="20"/>
      <c r="C300" s="20"/>
      <c r="D300" s="20"/>
      <c r="E300" s="20"/>
      <c r="F300" s="20"/>
      <c r="G300" s="84"/>
      <c r="H300" s="83"/>
      <c r="I300" s="20"/>
      <c r="J300" s="86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>
      <c r="A301" s="92"/>
      <c r="B301" s="20"/>
      <c r="C301" s="20"/>
      <c r="D301" s="20"/>
      <c r="E301" s="20"/>
      <c r="F301" s="20"/>
      <c r="G301" s="84"/>
      <c r="H301" s="83"/>
      <c r="I301" s="20"/>
      <c r="J301" s="86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>
      <c r="A302" s="92"/>
      <c r="B302" s="20"/>
      <c r="C302" s="20"/>
      <c r="D302" s="20"/>
      <c r="E302" s="20"/>
      <c r="F302" s="20"/>
      <c r="G302" s="84"/>
      <c r="H302" s="83"/>
      <c r="I302" s="20"/>
      <c r="J302" s="86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>
      <c r="A303" s="92"/>
      <c r="B303" s="20"/>
      <c r="C303" s="20"/>
      <c r="D303" s="20"/>
      <c r="E303" s="20"/>
      <c r="F303" s="20"/>
      <c r="G303" s="84"/>
      <c r="H303" s="83"/>
      <c r="I303" s="20"/>
      <c r="J303" s="86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>
      <c r="A304" s="92"/>
      <c r="B304" s="20"/>
      <c r="C304" s="20"/>
      <c r="D304" s="20"/>
      <c r="E304" s="20"/>
      <c r="F304" s="20"/>
      <c r="G304" s="84"/>
      <c r="H304" s="83"/>
      <c r="I304" s="20"/>
      <c r="J304" s="86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</row>
    <row r="305" spans="1:35">
      <c r="A305" s="92"/>
      <c r="B305" s="20"/>
      <c r="C305" s="20"/>
      <c r="D305" s="20"/>
      <c r="E305" s="20"/>
      <c r="F305" s="20"/>
      <c r="G305" s="84"/>
      <c r="H305" s="83"/>
      <c r="I305" s="20"/>
      <c r="J305" s="86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</sheetData>
  <sheetCalcPr fullCalcOnLoad="1"/>
  <phoneticPr fontId="3" type="noConversion"/>
  <pageMargins left="0.75" right="0.75" top="1" bottom="1" header="0.5" footer="0.5"/>
  <pageSetup paperSize="9" scale="80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/>
  <dimension ref="A1:A40"/>
  <sheetViews>
    <sheetView showGridLines="0" topLeftCell="A13" workbookViewId="0">
      <selection activeCell="N9" sqref="N9"/>
    </sheetView>
  </sheetViews>
  <sheetFormatPr defaultRowHeight="12.75"/>
  <cols>
    <col min="1" max="1" width="15.7109375" bestFit="1" customWidth="1"/>
  </cols>
  <sheetData>
    <row r="1" spans="1:1">
      <c r="A1" t="str">
        <f>'II DZIEN'!J2</f>
        <v>SP204 Warszawa</v>
      </c>
    </row>
    <row r="2" spans="1:1">
      <c r="A2" t="str">
        <f>'II DZIEN'!J3</f>
        <v>SP Podkowa Leśna</v>
      </c>
    </row>
    <row r="3" spans="1:1">
      <c r="A3" t="str">
        <f>'II DZIEN'!J4</f>
        <v>SP2 Chorzele</v>
      </c>
    </row>
    <row r="4" spans="1:1">
      <c r="A4" t="str">
        <f>'II DZIEN'!J5</f>
        <v>SP11 Siedlce</v>
      </c>
    </row>
    <row r="5" spans="1:1">
      <c r="A5" t="str">
        <f>'II DZIEN'!J6</f>
        <v>SP2 Węgrów</v>
      </c>
    </row>
    <row r="6" spans="1:1">
      <c r="A6" t="str">
        <f>'II DZIEN'!J7</f>
        <v>SP Bieniewice</v>
      </c>
    </row>
    <row r="7" spans="1:1">
      <c r="A7" t="str">
        <f>'II DZIEN'!J8</f>
        <v>SP14 Warszawa</v>
      </c>
    </row>
    <row r="8" spans="1:1">
      <c r="A8" t="str">
        <f>'II DZIEN'!J9</f>
        <v>ZSP Jedlińsk</v>
      </c>
    </row>
    <row r="9" spans="1:1">
      <c r="A9" t="str">
        <f>'II DZIEN'!J10</f>
        <v>SP2 Ostrów Maz.</v>
      </c>
    </row>
    <row r="10" spans="1:1">
      <c r="A10" t="str">
        <f>'II DZIEN'!J11</f>
        <v>SP3 Piaseczno</v>
      </c>
    </row>
    <row r="11" spans="1:1">
      <c r="A11" t="str">
        <f>'II DZIEN'!J12</f>
        <v>PSP 2 Radom</v>
      </c>
    </row>
    <row r="12" spans="1:1">
      <c r="A12" t="str">
        <f>'II DZIEN'!J13</f>
        <v>ZSP Lesznowola</v>
      </c>
    </row>
    <row r="13" spans="1:1">
      <c r="A13">
        <f>'II DZIEN'!J14</f>
        <v>0</v>
      </c>
    </row>
    <row r="14" spans="1:1">
      <c r="A14">
        <f>'II DZIEN'!J15</f>
        <v>0</v>
      </c>
    </row>
    <row r="15" spans="1:1">
      <c r="A15">
        <f>'II DZIEN'!J16</f>
        <v>0</v>
      </c>
    </row>
    <row r="16" spans="1:1">
      <c r="A16">
        <f>'II DZIEN'!J17</f>
        <v>0</v>
      </c>
    </row>
    <row r="17" spans="1:1">
      <c r="A17">
        <f>'II DZIEN'!J18</f>
        <v>0</v>
      </c>
    </row>
    <row r="18" spans="1:1">
      <c r="A18">
        <f>'II DZIEN'!J19</f>
        <v>0</v>
      </c>
    </row>
    <row r="19" spans="1:1">
      <c r="A19">
        <f>'II DZIEN'!J20</f>
        <v>0</v>
      </c>
    </row>
    <row r="20" spans="1:1">
      <c r="A20">
        <f>'II DZIEN'!J21</f>
        <v>0</v>
      </c>
    </row>
    <row r="21" spans="1:1">
      <c r="A21">
        <f>'II DZIEN'!J22</f>
        <v>0</v>
      </c>
    </row>
    <row r="22" spans="1:1">
      <c r="A22">
        <f>'II DZIEN'!J23</f>
        <v>0</v>
      </c>
    </row>
    <row r="23" spans="1:1">
      <c r="A23">
        <f>'II DZIEN'!J24</f>
        <v>0</v>
      </c>
    </row>
    <row r="24" spans="1:1">
      <c r="A24">
        <f>'II DZIEN'!J25</f>
        <v>0</v>
      </c>
    </row>
    <row r="25" spans="1:1">
      <c r="A25">
        <f>'II DZIEN'!J26</f>
        <v>0</v>
      </c>
    </row>
    <row r="26" spans="1:1">
      <c r="A26">
        <f>'II DZIEN'!J27</f>
        <v>0</v>
      </c>
    </row>
    <row r="27" spans="1:1">
      <c r="A27">
        <f>'II DZIEN'!J28</f>
        <v>0</v>
      </c>
    </row>
    <row r="28" spans="1:1">
      <c r="A28">
        <f>'II DZIEN'!J29</f>
        <v>0</v>
      </c>
    </row>
    <row r="29" spans="1:1">
      <c r="A29">
        <f>'II DZIEN'!J30</f>
        <v>0</v>
      </c>
    </row>
    <row r="30" spans="1:1">
      <c r="A30">
        <f>'II DZIEN'!J31</f>
        <v>0</v>
      </c>
    </row>
    <row r="31" spans="1:1">
      <c r="A31">
        <f>'II DZIEN'!J32</f>
        <v>0</v>
      </c>
    </row>
    <row r="32" spans="1:1">
      <c r="A32">
        <f>'II DZIEN'!J33</f>
        <v>0</v>
      </c>
    </row>
    <row r="33" spans="1:1">
      <c r="A33">
        <f>'II DZIEN'!J34</f>
        <v>0</v>
      </c>
    </row>
    <row r="34" spans="1:1">
      <c r="A34">
        <f>'II DZIEN'!J35</f>
        <v>0</v>
      </c>
    </row>
    <row r="35" spans="1:1">
      <c r="A35">
        <f>'II DZIEN'!J36</f>
        <v>0</v>
      </c>
    </row>
    <row r="36" spans="1:1">
      <c r="A36">
        <f>'II DZIEN'!J37</f>
        <v>0</v>
      </c>
    </row>
    <row r="37" spans="1:1">
      <c r="A37">
        <f>'II DZIEN'!J38</f>
        <v>0</v>
      </c>
    </row>
    <row r="38" spans="1:1">
      <c r="A38">
        <f>'II DZIEN'!J39</f>
        <v>0</v>
      </c>
    </row>
    <row r="39" spans="1:1">
      <c r="A39">
        <f>'II DZIEN'!J40</f>
        <v>0</v>
      </c>
    </row>
    <row r="40" spans="1:1">
      <c r="A40">
        <f>'II DZIEN'!J41</f>
        <v>0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/>
  <dimension ref="A1:N317"/>
  <sheetViews>
    <sheetView showGridLines="0" view="pageBreakPreview" zoomScaleNormal="100" zoomScaleSheetLayoutView="75" workbookViewId="0">
      <selection activeCell="C1" sqref="C1:N1"/>
    </sheetView>
  </sheetViews>
  <sheetFormatPr defaultRowHeight="12.75"/>
  <cols>
    <col min="1" max="1" width="19.7109375" style="50" bestFit="1" customWidth="1"/>
    <col min="2" max="2" width="23.28515625" style="117" bestFit="1" customWidth="1"/>
    <col min="3" max="3" width="6.140625" style="44" bestFit="1" customWidth="1"/>
    <col min="4" max="4" width="4.7109375" style="47" bestFit="1" customWidth="1"/>
    <col min="5" max="5" width="5.140625" style="44" bestFit="1" customWidth="1"/>
    <col min="6" max="6" width="3.7109375" style="47" bestFit="1" customWidth="1"/>
    <col min="7" max="7" width="6.5703125" style="44" bestFit="1" customWidth="1"/>
    <col min="8" max="8" width="3.7109375" style="47" bestFit="1" customWidth="1"/>
    <col min="9" max="9" width="5.42578125" style="44" bestFit="1" customWidth="1"/>
    <col min="10" max="10" width="4.7109375" style="47" bestFit="1" customWidth="1"/>
    <col min="11" max="11" width="7.140625" style="44" bestFit="1" customWidth="1"/>
    <col min="12" max="12" width="3.7109375" style="47" bestFit="1" customWidth="1"/>
    <col min="13" max="13" width="7.5703125" style="41" bestFit="1" customWidth="1"/>
    <col min="14" max="14" width="7.42578125" style="40" bestFit="1" customWidth="1"/>
  </cols>
  <sheetData>
    <row r="1" spans="1:14" s="40" customFormat="1" ht="37.5" customHeight="1" thickBot="1">
      <c r="A1"/>
      <c r="B1" s="64"/>
      <c r="C1" s="126" t="s">
        <v>2868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s="40" customFormat="1" ht="14.25" thickTop="1" thickBot="1">
      <c r="A2" s="39"/>
      <c r="B2" s="48"/>
      <c r="C2" s="42"/>
      <c r="D2" s="45"/>
      <c r="E2" s="42"/>
      <c r="F2" s="45"/>
      <c r="G2" s="42"/>
      <c r="H2" s="45"/>
      <c r="I2" s="42"/>
      <c r="J2" s="45"/>
      <c r="K2" s="42"/>
      <c r="L2" s="45"/>
      <c r="M2" s="39"/>
      <c r="N2" s="39"/>
    </row>
    <row r="3" spans="1:14" ht="14.25" thickTop="1" thickBot="1">
      <c r="A3" s="49"/>
      <c r="B3" s="116"/>
      <c r="C3" s="43"/>
      <c r="D3" s="46"/>
      <c r="E3" s="43"/>
      <c r="F3" s="46"/>
      <c r="G3" s="43"/>
      <c r="H3" s="46"/>
      <c r="I3" s="43"/>
      <c r="J3" s="46"/>
      <c r="K3" s="43"/>
      <c r="L3" s="46"/>
      <c r="M3" s="39"/>
      <c r="N3" s="39"/>
    </row>
    <row r="4" spans="1:14" ht="14.25" thickTop="1" thickBot="1">
      <c r="A4" s="49"/>
      <c r="B4" s="116"/>
      <c r="C4" s="43"/>
      <c r="D4" s="46"/>
      <c r="E4" s="43"/>
      <c r="F4" s="46"/>
      <c r="G4" s="43"/>
      <c r="H4" s="46"/>
      <c r="I4" s="43"/>
      <c r="J4" s="46"/>
      <c r="K4" s="43"/>
      <c r="L4" s="46"/>
      <c r="M4" s="39"/>
      <c r="N4" s="39"/>
    </row>
    <row r="5" spans="1:14" ht="14.25" thickTop="1" thickBot="1">
      <c r="A5" s="49"/>
      <c r="B5" s="116"/>
      <c r="C5" s="43"/>
      <c r="D5" s="46"/>
      <c r="E5" s="43"/>
      <c r="F5" s="46"/>
      <c r="G5" s="43"/>
      <c r="H5" s="46"/>
      <c r="I5" s="43"/>
      <c r="J5" s="46"/>
      <c r="K5" s="43"/>
      <c r="L5" s="46"/>
      <c r="M5" s="39"/>
      <c r="N5" s="39"/>
    </row>
    <row r="6" spans="1:14" ht="14.25" thickTop="1" thickBot="1">
      <c r="A6" s="49"/>
      <c r="B6" s="116"/>
      <c r="C6" s="43"/>
      <c r="D6" s="46"/>
      <c r="E6" s="43"/>
      <c r="F6" s="46"/>
      <c r="G6" s="43"/>
      <c r="H6" s="46"/>
      <c r="I6" s="43"/>
      <c r="J6" s="46"/>
      <c r="K6" s="43"/>
      <c r="L6" s="46"/>
      <c r="M6" s="39"/>
      <c r="N6" s="39"/>
    </row>
    <row r="7" spans="1:14" ht="14.25" thickTop="1" thickBot="1">
      <c r="A7" s="49"/>
      <c r="B7" s="116"/>
      <c r="C7" s="43"/>
      <c r="D7" s="46"/>
      <c r="E7" s="43"/>
      <c r="F7" s="46"/>
      <c r="G7" s="43"/>
      <c r="H7" s="46"/>
      <c r="I7" s="43"/>
      <c r="J7" s="46"/>
      <c r="K7" s="43"/>
      <c r="L7" s="46"/>
      <c r="M7" s="39"/>
      <c r="N7" s="39"/>
    </row>
    <row r="8" spans="1:14" ht="14.25" thickTop="1" thickBot="1">
      <c r="A8" s="49"/>
      <c r="B8" s="116"/>
      <c r="C8" s="43"/>
      <c r="D8" s="46"/>
      <c r="E8" s="43"/>
      <c r="F8" s="46"/>
      <c r="G8" s="43"/>
      <c r="H8" s="46"/>
      <c r="I8" s="43"/>
      <c r="J8" s="46"/>
      <c r="K8" s="43"/>
      <c r="L8" s="46"/>
      <c r="M8" s="39"/>
      <c r="N8" s="39"/>
    </row>
    <row r="9" spans="1:14" s="40" customFormat="1" ht="14.25" thickTop="1" thickBot="1">
      <c r="A9" s="39"/>
      <c r="B9" s="115"/>
      <c r="C9" s="42"/>
      <c r="D9" s="45"/>
      <c r="E9" s="42"/>
      <c r="F9" s="45"/>
      <c r="G9" s="42"/>
      <c r="H9" s="45"/>
      <c r="I9" s="42"/>
      <c r="J9" s="45"/>
      <c r="K9" s="42"/>
      <c r="L9" s="45"/>
      <c r="M9" s="39"/>
      <c r="N9" s="39"/>
    </row>
    <row r="10" spans="1:14" ht="14.25" thickTop="1" thickBot="1">
      <c r="A10" s="49"/>
      <c r="B10" s="116"/>
      <c r="C10" s="43"/>
      <c r="D10" s="46"/>
      <c r="E10" s="43"/>
      <c r="F10" s="46"/>
      <c r="G10" s="43"/>
      <c r="H10" s="46"/>
      <c r="I10" s="43"/>
      <c r="J10" s="46"/>
      <c r="K10" s="43"/>
      <c r="L10" s="46"/>
      <c r="M10" s="39"/>
      <c r="N10" s="39"/>
    </row>
    <row r="11" spans="1:14" ht="14.25" thickTop="1" thickBot="1">
      <c r="A11" s="49"/>
      <c r="B11" s="116"/>
      <c r="C11" s="43"/>
      <c r="D11" s="46"/>
      <c r="E11" s="43"/>
      <c r="F11" s="46"/>
      <c r="G11" s="43"/>
      <c r="H11" s="46"/>
      <c r="I11" s="43"/>
      <c r="J11" s="46"/>
      <c r="K11" s="43"/>
      <c r="L11" s="46"/>
      <c r="M11" s="39"/>
      <c r="N11" s="39"/>
    </row>
    <row r="12" spans="1:14" ht="14.25" thickTop="1" thickBot="1">
      <c r="A12" s="49"/>
      <c r="B12" s="116"/>
      <c r="C12" s="43"/>
      <c r="D12" s="46"/>
      <c r="E12" s="43"/>
      <c r="F12" s="46"/>
      <c r="G12" s="43"/>
      <c r="H12" s="46"/>
      <c r="I12" s="43"/>
      <c r="J12" s="46"/>
      <c r="K12" s="43"/>
      <c r="L12" s="46"/>
      <c r="M12" s="39"/>
      <c r="N12" s="39"/>
    </row>
    <row r="13" spans="1:14" ht="14.25" thickTop="1" thickBot="1">
      <c r="A13" s="49"/>
      <c r="B13" s="116"/>
      <c r="C13" s="43"/>
      <c r="D13" s="46"/>
      <c r="E13" s="43"/>
      <c r="F13" s="46"/>
      <c r="G13" s="43"/>
      <c r="H13" s="46"/>
      <c r="I13" s="43"/>
      <c r="J13" s="46"/>
      <c r="K13" s="43"/>
      <c r="L13" s="46"/>
      <c r="M13" s="39"/>
      <c r="N13" s="39"/>
    </row>
    <row r="14" spans="1:14" ht="14.25" thickTop="1" thickBot="1">
      <c r="A14" s="49"/>
      <c r="B14" s="116"/>
      <c r="C14" s="43"/>
      <c r="D14" s="46"/>
      <c r="E14" s="43"/>
      <c r="F14" s="46"/>
      <c r="G14" s="43"/>
      <c r="H14" s="46"/>
      <c r="I14" s="43"/>
      <c r="J14" s="46"/>
      <c r="K14" s="43"/>
      <c r="L14" s="46"/>
      <c r="M14" s="39"/>
      <c r="N14" s="39"/>
    </row>
    <row r="15" spans="1:14" ht="14.25" thickTop="1" thickBot="1">
      <c r="A15" s="49"/>
      <c r="B15" s="116"/>
      <c r="C15" s="43"/>
      <c r="D15" s="46"/>
      <c r="E15" s="43"/>
      <c r="F15" s="46"/>
      <c r="G15" s="43"/>
      <c r="H15" s="46"/>
      <c r="I15" s="43"/>
      <c r="J15" s="46"/>
      <c r="K15" s="43"/>
      <c r="L15" s="46"/>
      <c r="M15" s="39"/>
      <c r="N15" s="39"/>
    </row>
    <row r="16" spans="1:14" s="40" customFormat="1" ht="14.25" thickTop="1" thickBot="1">
      <c r="A16" s="39"/>
      <c r="B16" s="115"/>
      <c r="C16" s="42"/>
      <c r="D16" s="45"/>
      <c r="E16" s="42"/>
      <c r="F16" s="45"/>
      <c r="G16" s="42"/>
      <c r="H16" s="45"/>
      <c r="I16" s="42"/>
      <c r="J16" s="45"/>
      <c r="K16" s="42"/>
      <c r="L16" s="45"/>
      <c r="M16" s="39"/>
      <c r="N16" s="39"/>
    </row>
    <row r="17" spans="1:14" ht="14.25" thickTop="1" thickBot="1">
      <c r="A17" s="49"/>
      <c r="B17" s="116"/>
      <c r="C17" s="43"/>
      <c r="D17" s="46"/>
      <c r="E17" s="43"/>
      <c r="F17" s="46"/>
      <c r="G17" s="43"/>
      <c r="H17" s="46"/>
      <c r="I17" s="43"/>
      <c r="J17" s="46"/>
      <c r="K17" s="43"/>
      <c r="L17" s="46"/>
      <c r="M17" s="39"/>
      <c r="N17" s="39"/>
    </row>
    <row r="18" spans="1:14" ht="14.25" thickTop="1" thickBot="1">
      <c r="A18" s="49"/>
      <c r="B18" s="116"/>
      <c r="C18" s="43"/>
      <c r="D18" s="46"/>
      <c r="E18" s="43"/>
      <c r="F18" s="46"/>
      <c r="G18" s="43"/>
      <c r="H18" s="46"/>
      <c r="I18" s="43"/>
      <c r="J18" s="46"/>
      <c r="K18" s="43"/>
      <c r="L18" s="46"/>
      <c r="M18" s="39"/>
      <c r="N18" s="39"/>
    </row>
    <row r="19" spans="1:14" ht="14.25" thickTop="1" thickBot="1">
      <c r="A19" s="49"/>
      <c r="B19" s="116"/>
      <c r="C19" s="43"/>
      <c r="D19" s="46"/>
      <c r="E19" s="43"/>
      <c r="F19" s="46"/>
      <c r="G19" s="43"/>
      <c r="H19" s="46"/>
      <c r="I19" s="43"/>
      <c r="J19" s="46"/>
      <c r="K19" s="43"/>
      <c r="L19" s="46"/>
      <c r="M19" s="39"/>
      <c r="N19" s="39"/>
    </row>
    <row r="20" spans="1:14" ht="14.25" thickTop="1" thickBot="1">
      <c r="A20" s="49"/>
      <c r="B20" s="116"/>
      <c r="C20" s="43"/>
      <c r="D20" s="46"/>
      <c r="E20" s="43"/>
      <c r="F20" s="46"/>
      <c r="G20" s="43"/>
      <c r="H20" s="46"/>
      <c r="I20" s="43"/>
      <c r="J20" s="46"/>
      <c r="K20" s="43"/>
      <c r="L20" s="46"/>
      <c r="M20" s="39"/>
      <c r="N20" s="39"/>
    </row>
    <row r="21" spans="1:14" ht="14.25" thickTop="1" thickBot="1">
      <c r="A21" s="49"/>
      <c r="B21" s="116"/>
      <c r="C21" s="43"/>
      <c r="D21" s="46"/>
      <c r="E21" s="43"/>
      <c r="F21" s="46"/>
      <c r="G21" s="43"/>
      <c r="H21" s="46"/>
      <c r="I21" s="43"/>
      <c r="J21" s="46"/>
      <c r="K21" s="43"/>
      <c r="L21" s="46"/>
      <c r="M21" s="39"/>
      <c r="N21" s="39"/>
    </row>
    <row r="22" spans="1:14" ht="14.25" thickTop="1" thickBot="1">
      <c r="A22" s="49"/>
      <c r="B22" s="116"/>
      <c r="C22" s="43"/>
      <c r="D22" s="46"/>
      <c r="E22" s="43"/>
      <c r="F22" s="46"/>
      <c r="G22" s="43"/>
      <c r="H22" s="46"/>
      <c r="I22" s="43"/>
      <c r="J22" s="46"/>
      <c r="K22" s="43"/>
      <c r="L22" s="46"/>
      <c r="M22" s="39"/>
      <c r="N22" s="39"/>
    </row>
    <row r="23" spans="1:14" s="40" customFormat="1" ht="14.25" thickTop="1" thickBot="1">
      <c r="A23" s="39"/>
      <c r="B23" s="115"/>
      <c r="C23" s="42"/>
      <c r="D23" s="45"/>
      <c r="E23" s="42"/>
      <c r="F23" s="45"/>
      <c r="G23" s="42"/>
      <c r="H23" s="45"/>
      <c r="I23" s="42"/>
      <c r="J23" s="45"/>
      <c r="K23" s="42"/>
      <c r="L23" s="45"/>
      <c r="M23" s="39"/>
      <c r="N23" s="39"/>
    </row>
    <row r="24" spans="1:14" ht="14.25" thickTop="1" thickBot="1">
      <c r="A24" s="49"/>
      <c r="B24" s="116"/>
      <c r="C24" s="43"/>
      <c r="D24" s="46"/>
      <c r="E24" s="43"/>
      <c r="F24" s="46"/>
      <c r="G24" s="43"/>
      <c r="H24" s="46"/>
      <c r="I24" s="43"/>
      <c r="J24" s="46"/>
      <c r="K24" s="43"/>
      <c r="L24" s="46"/>
      <c r="M24" s="39"/>
      <c r="N24" s="39"/>
    </row>
    <row r="25" spans="1:14" ht="14.25" thickTop="1" thickBot="1">
      <c r="A25" s="49"/>
      <c r="B25" s="116"/>
      <c r="C25" s="43"/>
      <c r="D25" s="46"/>
      <c r="E25" s="43"/>
      <c r="F25" s="46"/>
      <c r="G25" s="43"/>
      <c r="H25" s="46"/>
      <c r="I25" s="43"/>
      <c r="J25" s="46"/>
      <c r="K25" s="43"/>
      <c r="L25" s="46"/>
      <c r="M25" s="39"/>
      <c r="N25" s="39"/>
    </row>
    <row r="26" spans="1:14" ht="14.25" thickTop="1" thickBot="1">
      <c r="A26" s="49"/>
      <c r="B26" s="116"/>
      <c r="C26" s="43"/>
      <c r="D26" s="46"/>
      <c r="E26" s="43"/>
      <c r="F26" s="46"/>
      <c r="G26" s="43"/>
      <c r="H26" s="46"/>
      <c r="I26" s="43"/>
      <c r="J26" s="46"/>
      <c r="K26" s="43"/>
      <c r="L26" s="46"/>
      <c r="M26" s="39"/>
      <c r="N26" s="39"/>
    </row>
    <row r="27" spans="1:14" ht="14.25" thickTop="1" thickBot="1">
      <c r="A27" s="49"/>
      <c r="B27" s="116"/>
      <c r="C27" s="43"/>
      <c r="D27" s="46"/>
      <c r="E27" s="43"/>
      <c r="F27" s="46"/>
      <c r="G27" s="43"/>
      <c r="H27" s="46"/>
      <c r="I27" s="43"/>
      <c r="J27" s="46"/>
      <c r="K27" s="43"/>
      <c r="L27" s="46"/>
      <c r="M27" s="39"/>
      <c r="N27" s="39"/>
    </row>
    <row r="28" spans="1:14" ht="14.25" thickTop="1" thickBot="1">
      <c r="A28" s="49"/>
      <c r="B28" s="116"/>
      <c r="C28" s="43"/>
      <c r="D28" s="46"/>
      <c r="E28" s="43"/>
      <c r="F28" s="46"/>
      <c r="G28" s="43"/>
      <c r="H28" s="46"/>
      <c r="I28" s="43"/>
      <c r="J28" s="46"/>
      <c r="K28" s="43"/>
      <c r="L28" s="46"/>
      <c r="M28" s="39"/>
      <c r="N28" s="39"/>
    </row>
    <row r="29" spans="1:14" ht="14.25" thickTop="1" thickBot="1">
      <c r="A29" s="49"/>
      <c r="B29" s="116"/>
      <c r="C29" s="43"/>
      <c r="D29" s="46"/>
      <c r="E29" s="43"/>
      <c r="F29" s="46"/>
      <c r="G29" s="43"/>
      <c r="H29" s="46"/>
      <c r="I29" s="43"/>
      <c r="J29" s="46"/>
      <c r="K29" s="43"/>
      <c r="L29" s="46"/>
      <c r="M29" s="39"/>
      <c r="N29" s="39"/>
    </row>
    <row r="30" spans="1:14" s="40" customFormat="1" ht="14.25" thickTop="1" thickBot="1">
      <c r="A30" s="39"/>
      <c r="B30" s="115"/>
      <c r="C30" s="42"/>
      <c r="D30" s="45"/>
      <c r="E30" s="42"/>
      <c r="F30" s="45"/>
      <c r="G30" s="42"/>
      <c r="H30" s="45"/>
      <c r="I30" s="42"/>
      <c r="J30" s="45"/>
      <c r="K30" s="42"/>
      <c r="L30" s="45"/>
      <c r="M30" s="39"/>
      <c r="N30" s="39"/>
    </row>
    <row r="31" spans="1:14" ht="14.25" thickTop="1" thickBot="1">
      <c r="A31" s="49"/>
      <c r="B31" s="116"/>
      <c r="C31" s="43"/>
      <c r="D31" s="46"/>
      <c r="E31" s="43"/>
      <c r="F31" s="46"/>
      <c r="G31" s="43"/>
      <c r="H31" s="46"/>
      <c r="I31" s="43"/>
      <c r="J31" s="46"/>
      <c r="K31" s="43"/>
      <c r="L31" s="46"/>
      <c r="M31" s="39"/>
      <c r="N31" s="39"/>
    </row>
    <row r="32" spans="1:14" ht="14.25" thickTop="1" thickBot="1">
      <c r="A32" s="49"/>
      <c r="B32" s="116"/>
      <c r="C32" s="43"/>
      <c r="D32" s="46"/>
      <c r="E32" s="43"/>
      <c r="F32" s="46"/>
      <c r="G32" s="43"/>
      <c r="H32" s="46"/>
      <c r="I32" s="43"/>
      <c r="J32" s="46"/>
      <c r="K32" s="43"/>
      <c r="L32" s="46"/>
      <c r="M32" s="39"/>
      <c r="N32" s="39"/>
    </row>
    <row r="33" spans="1:14" ht="14.25" thickTop="1" thickBot="1">
      <c r="A33" s="49"/>
      <c r="B33" s="116"/>
      <c r="C33" s="43"/>
      <c r="D33" s="46"/>
      <c r="E33" s="43"/>
      <c r="F33" s="46"/>
      <c r="G33" s="43"/>
      <c r="H33" s="46"/>
      <c r="I33" s="43"/>
      <c r="J33" s="46"/>
      <c r="K33" s="43"/>
      <c r="L33" s="46"/>
      <c r="M33" s="39"/>
      <c r="N33" s="39"/>
    </row>
    <row r="34" spans="1:14" ht="14.25" thickTop="1" thickBot="1">
      <c r="A34" s="49"/>
      <c r="B34" s="116"/>
      <c r="C34" s="43"/>
      <c r="D34" s="46"/>
      <c r="E34" s="43"/>
      <c r="F34" s="46"/>
      <c r="G34" s="43"/>
      <c r="H34" s="46"/>
      <c r="I34" s="43"/>
      <c r="J34" s="46"/>
      <c r="K34" s="43"/>
      <c r="L34" s="46"/>
      <c r="M34" s="39"/>
      <c r="N34" s="39"/>
    </row>
    <row r="35" spans="1:14" ht="14.25" thickTop="1" thickBot="1">
      <c r="A35" s="49"/>
      <c r="B35" s="116"/>
      <c r="C35" s="43"/>
      <c r="D35" s="46"/>
      <c r="E35" s="43"/>
      <c r="F35" s="46"/>
      <c r="G35" s="43"/>
      <c r="H35" s="46"/>
      <c r="I35" s="43"/>
      <c r="J35" s="46"/>
      <c r="K35" s="43"/>
      <c r="L35" s="46"/>
      <c r="M35" s="39"/>
      <c r="N35" s="39"/>
    </row>
    <row r="36" spans="1:14" ht="14.25" thickTop="1" thickBot="1">
      <c r="A36" s="49"/>
      <c r="B36" s="116"/>
      <c r="C36" s="43"/>
      <c r="D36" s="46"/>
      <c r="E36" s="43"/>
      <c r="F36" s="46"/>
      <c r="G36" s="43"/>
      <c r="H36" s="46"/>
      <c r="I36" s="43"/>
      <c r="J36" s="46"/>
      <c r="K36" s="43"/>
      <c r="L36" s="46"/>
      <c r="M36" s="39"/>
      <c r="N36" s="39"/>
    </row>
    <row r="37" spans="1:14" s="40" customFormat="1" ht="14.25" thickTop="1" thickBot="1">
      <c r="A37" s="39"/>
      <c r="B37" s="115"/>
      <c r="C37" s="42"/>
      <c r="D37" s="45"/>
      <c r="E37" s="42"/>
      <c r="F37" s="45"/>
      <c r="G37" s="42"/>
      <c r="H37" s="45"/>
      <c r="I37" s="42"/>
      <c r="J37" s="45"/>
      <c r="K37" s="42"/>
      <c r="L37" s="45"/>
      <c r="M37" s="39"/>
      <c r="N37" s="39"/>
    </row>
    <row r="38" spans="1:14" ht="14.25" thickTop="1" thickBot="1">
      <c r="A38" s="49"/>
      <c r="B38" s="116"/>
      <c r="C38" s="43"/>
      <c r="D38" s="46"/>
      <c r="E38" s="43"/>
      <c r="F38" s="46"/>
      <c r="G38" s="43"/>
      <c r="H38" s="46"/>
      <c r="I38" s="43"/>
      <c r="J38" s="46"/>
      <c r="K38" s="43"/>
      <c r="L38" s="46"/>
      <c r="M38" s="39"/>
      <c r="N38" s="39"/>
    </row>
    <row r="39" spans="1:14" ht="14.25" thickTop="1" thickBot="1">
      <c r="A39" s="49"/>
      <c r="B39" s="116"/>
      <c r="C39" s="43"/>
      <c r="D39" s="46"/>
      <c r="E39" s="43"/>
      <c r="F39" s="46"/>
      <c r="G39" s="43"/>
      <c r="H39" s="46"/>
      <c r="I39" s="43"/>
      <c r="J39" s="46"/>
      <c r="K39" s="43"/>
      <c r="L39" s="46"/>
      <c r="M39" s="39"/>
      <c r="N39" s="39"/>
    </row>
    <row r="40" spans="1:14" ht="14.25" thickTop="1" thickBot="1">
      <c r="A40" s="49"/>
      <c r="B40" s="116"/>
      <c r="C40" s="43"/>
      <c r="D40" s="46"/>
      <c r="E40" s="43"/>
      <c r="F40" s="46"/>
      <c r="G40" s="43"/>
      <c r="H40" s="46"/>
      <c r="I40" s="43"/>
      <c r="J40" s="46"/>
      <c r="K40" s="43"/>
      <c r="L40" s="46"/>
      <c r="M40" s="39"/>
      <c r="N40" s="39"/>
    </row>
    <row r="41" spans="1:14" ht="14.25" thickTop="1" thickBot="1">
      <c r="A41" s="49"/>
      <c r="B41" s="116"/>
      <c r="C41" s="43"/>
      <c r="D41" s="46"/>
      <c r="E41" s="43"/>
      <c r="F41" s="46"/>
      <c r="G41" s="43"/>
      <c r="H41" s="46"/>
      <c r="I41" s="43"/>
      <c r="J41" s="46"/>
      <c r="K41" s="43"/>
      <c r="L41" s="46"/>
      <c r="M41" s="39"/>
      <c r="N41" s="39"/>
    </row>
    <row r="42" spans="1:14" ht="14.25" thickTop="1" thickBot="1">
      <c r="A42" s="49"/>
      <c r="B42" s="116"/>
      <c r="C42" s="43"/>
      <c r="D42" s="46"/>
      <c r="E42" s="43"/>
      <c r="F42" s="46"/>
      <c r="G42" s="43"/>
      <c r="H42" s="46"/>
      <c r="I42" s="43"/>
      <c r="J42" s="46"/>
      <c r="K42" s="43"/>
      <c r="L42" s="46"/>
      <c r="M42" s="39"/>
      <c r="N42" s="39"/>
    </row>
    <row r="43" spans="1:14" ht="14.25" thickTop="1" thickBot="1">
      <c r="A43" s="49"/>
      <c r="B43" s="116"/>
      <c r="C43" s="43"/>
      <c r="D43" s="46"/>
      <c r="E43" s="43"/>
      <c r="F43" s="46"/>
      <c r="G43" s="43"/>
      <c r="H43" s="46"/>
      <c r="I43" s="43"/>
      <c r="J43" s="46"/>
      <c r="K43" s="43"/>
      <c r="L43" s="46"/>
      <c r="M43" s="39"/>
      <c r="N43" s="39"/>
    </row>
    <row r="44" spans="1:14" s="40" customFormat="1" ht="14.25" thickTop="1" thickBot="1">
      <c r="A44" s="39"/>
      <c r="B44" s="115"/>
      <c r="C44" s="42"/>
      <c r="D44" s="45"/>
      <c r="E44" s="42"/>
      <c r="F44" s="45"/>
      <c r="G44" s="42"/>
      <c r="H44" s="45"/>
      <c r="I44" s="42"/>
      <c r="J44" s="45"/>
      <c r="K44" s="42"/>
      <c r="L44" s="45"/>
      <c r="M44" s="39"/>
      <c r="N44" s="39"/>
    </row>
    <row r="45" spans="1:14" ht="14.25" thickTop="1" thickBot="1">
      <c r="A45" s="49"/>
      <c r="B45" s="116"/>
      <c r="C45" s="43"/>
      <c r="D45" s="46"/>
      <c r="E45" s="43"/>
      <c r="F45" s="46"/>
      <c r="G45" s="43"/>
      <c r="H45" s="46"/>
      <c r="I45" s="43"/>
      <c r="J45" s="46"/>
      <c r="K45" s="43"/>
      <c r="L45" s="46"/>
      <c r="M45" s="39"/>
      <c r="N45" s="39"/>
    </row>
    <row r="46" spans="1:14" ht="14.25" thickTop="1" thickBot="1">
      <c r="A46" s="49"/>
      <c r="B46" s="116"/>
      <c r="C46" s="43"/>
      <c r="D46" s="46"/>
      <c r="E46" s="43"/>
      <c r="F46" s="46"/>
      <c r="G46" s="43"/>
      <c r="H46" s="46"/>
      <c r="I46" s="43"/>
      <c r="J46" s="46"/>
      <c r="K46" s="43"/>
      <c r="L46" s="46"/>
      <c r="M46" s="39"/>
      <c r="N46" s="39"/>
    </row>
    <row r="47" spans="1:14" ht="14.25" thickTop="1" thickBot="1">
      <c r="A47" s="49"/>
      <c r="B47" s="116"/>
      <c r="C47" s="43"/>
      <c r="D47" s="46"/>
      <c r="E47" s="43"/>
      <c r="F47" s="46"/>
      <c r="G47" s="43"/>
      <c r="H47" s="46"/>
      <c r="I47" s="43"/>
      <c r="J47" s="46"/>
      <c r="K47" s="43"/>
      <c r="L47" s="46"/>
      <c r="M47" s="39"/>
      <c r="N47" s="39"/>
    </row>
    <row r="48" spans="1:14" ht="14.25" thickTop="1" thickBot="1">
      <c r="A48" s="49"/>
      <c r="B48" s="116"/>
      <c r="C48" s="43"/>
      <c r="D48" s="46"/>
      <c r="E48" s="43"/>
      <c r="F48" s="46"/>
      <c r="G48" s="43"/>
      <c r="H48" s="46"/>
      <c r="I48" s="43"/>
      <c r="J48" s="46"/>
      <c r="K48" s="43"/>
      <c r="L48" s="46"/>
      <c r="M48" s="39"/>
      <c r="N48" s="39"/>
    </row>
    <row r="49" spans="1:14" ht="14.25" thickTop="1" thickBot="1">
      <c r="A49" s="49"/>
      <c r="B49" s="116"/>
      <c r="C49" s="43"/>
      <c r="D49" s="46"/>
      <c r="E49" s="43"/>
      <c r="F49" s="46"/>
      <c r="G49" s="43"/>
      <c r="H49" s="46"/>
      <c r="I49" s="43"/>
      <c r="J49" s="46"/>
      <c r="K49" s="43"/>
      <c r="L49" s="46"/>
      <c r="M49" s="39"/>
      <c r="N49" s="39"/>
    </row>
    <row r="50" spans="1:14" ht="14.25" thickTop="1" thickBot="1">
      <c r="A50" s="49"/>
      <c r="B50" s="116"/>
      <c r="C50" s="43"/>
      <c r="D50" s="46"/>
      <c r="E50" s="43"/>
      <c r="F50" s="46"/>
      <c r="G50" s="43"/>
      <c r="H50" s="46"/>
      <c r="I50" s="43"/>
      <c r="J50" s="46"/>
      <c r="K50" s="43"/>
      <c r="L50" s="46"/>
      <c r="M50" s="39"/>
      <c r="N50" s="39"/>
    </row>
    <row r="51" spans="1:14" s="40" customFormat="1" ht="14.25" thickTop="1" thickBot="1">
      <c r="A51" s="39"/>
      <c r="B51" s="115"/>
      <c r="C51" s="42"/>
      <c r="D51" s="45"/>
      <c r="E51" s="42"/>
      <c r="F51" s="45"/>
      <c r="G51" s="42"/>
      <c r="H51" s="45"/>
      <c r="I51" s="42"/>
      <c r="J51" s="45"/>
      <c r="K51" s="42"/>
      <c r="L51" s="45"/>
      <c r="M51" s="39"/>
      <c r="N51" s="39"/>
    </row>
    <row r="52" spans="1:14" ht="14.25" thickTop="1" thickBot="1">
      <c r="A52" s="49"/>
      <c r="B52" s="116"/>
      <c r="C52" s="43"/>
      <c r="D52" s="46"/>
      <c r="E52" s="43"/>
      <c r="F52" s="46"/>
      <c r="G52" s="43"/>
      <c r="H52" s="46"/>
      <c r="I52" s="43"/>
      <c r="J52" s="46"/>
      <c r="K52" s="43"/>
      <c r="L52" s="46"/>
      <c r="M52" s="39"/>
      <c r="N52" s="39"/>
    </row>
    <row r="53" spans="1:14" ht="14.25" thickTop="1" thickBot="1">
      <c r="A53" s="49"/>
      <c r="B53" s="116"/>
      <c r="C53" s="43"/>
      <c r="D53" s="46"/>
      <c r="E53" s="43"/>
      <c r="F53" s="46"/>
      <c r="G53" s="43"/>
      <c r="H53" s="46"/>
      <c r="I53" s="43"/>
      <c r="J53" s="46"/>
      <c r="K53" s="43"/>
      <c r="L53" s="46"/>
      <c r="M53" s="39"/>
      <c r="N53" s="39"/>
    </row>
    <row r="54" spans="1:14" ht="14.25" thickTop="1" thickBot="1">
      <c r="A54" s="49"/>
      <c r="B54" s="116"/>
      <c r="C54" s="43"/>
      <c r="D54" s="46"/>
      <c r="E54" s="43"/>
      <c r="F54" s="46"/>
      <c r="G54" s="43"/>
      <c r="H54" s="46"/>
      <c r="I54" s="43"/>
      <c r="J54" s="46"/>
      <c r="K54" s="43"/>
      <c r="L54" s="46"/>
      <c r="M54" s="39"/>
      <c r="N54" s="39"/>
    </row>
    <row r="55" spans="1:14" ht="14.25" thickTop="1" thickBot="1">
      <c r="A55" s="49"/>
      <c r="B55" s="116"/>
      <c r="C55" s="43"/>
      <c r="D55" s="46"/>
      <c r="E55" s="43"/>
      <c r="F55" s="46"/>
      <c r="G55" s="43"/>
      <c r="H55" s="46"/>
      <c r="I55" s="43"/>
      <c r="J55" s="46"/>
      <c r="K55" s="43"/>
      <c r="L55" s="46"/>
      <c r="M55" s="39"/>
      <c r="N55" s="39"/>
    </row>
    <row r="56" spans="1:14" ht="14.25" thickTop="1" thickBot="1">
      <c r="A56" s="49"/>
      <c r="B56" s="116"/>
      <c r="C56" s="43"/>
      <c r="D56" s="46"/>
      <c r="E56" s="43"/>
      <c r="F56" s="46"/>
      <c r="G56" s="43"/>
      <c r="H56" s="46"/>
      <c r="I56" s="43"/>
      <c r="J56" s="46"/>
      <c r="K56" s="43"/>
      <c r="L56" s="46"/>
      <c r="M56" s="39"/>
      <c r="N56" s="39"/>
    </row>
    <row r="57" spans="1:14" ht="14.25" thickTop="1" thickBot="1">
      <c r="A57" s="49"/>
      <c r="B57" s="116"/>
      <c r="C57" s="43"/>
      <c r="D57" s="46"/>
      <c r="E57" s="43"/>
      <c r="F57" s="46"/>
      <c r="G57" s="43"/>
      <c r="H57" s="46"/>
      <c r="I57" s="43"/>
      <c r="J57" s="46"/>
      <c r="K57" s="43"/>
      <c r="L57" s="46"/>
      <c r="M57" s="39"/>
      <c r="N57" s="39"/>
    </row>
    <row r="58" spans="1:14" s="40" customFormat="1" ht="14.25" thickTop="1" thickBot="1">
      <c r="A58" s="39"/>
      <c r="B58" s="115"/>
      <c r="C58" s="42"/>
      <c r="D58" s="45"/>
      <c r="E58" s="42"/>
      <c r="F58" s="45"/>
      <c r="G58" s="42"/>
      <c r="H58" s="45"/>
      <c r="I58" s="42"/>
      <c r="J58" s="45"/>
      <c r="K58" s="42"/>
      <c r="L58" s="45"/>
      <c r="M58" s="39"/>
      <c r="N58" s="39"/>
    </row>
    <row r="59" spans="1:14" ht="14.25" thickTop="1" thickBot="1">
      <c r="A59" s="49"/>
      <c r="B59" s="116"/>
      <c r="C59" s="43"/>
      <c r="D59" s="46"/>
      <c r="E59" s="43"/>
      <c r="F59" s="46"/>
      <c r="G59" s="43"/>
      <c r="H59" s="46"/>
      <c r="I59" s="43"/>
      <c r="J59" s="46"/>
      <c r="K59" s="43"/>
      <c r="L59" s="46"/>
      <c r="M59" s="39"/>
      <c r="N59" s="39"/>
    </row>
    <row r="60" spans="1:14" ht="14.25" thickTop="1" thickBot="1">
      <c r="A60" s="49"/>
      <c r="B60" s="116"/>
      <c r="C60" s="43"/>
      <c r="D60" s="46"/>
      <c r="E60" s="43"/>
      <c r="F60" s="46"/>
      <c r="G60" s="43"/>
      <c r="H60" s="46"/>
      <c r="I60" s="43"/>
      <c r="J60" s="46"/>
      <c r="K60" s="43"/>
      <c r="L60" s="46"/>
      <c r="M60" s="39"/>
      <c r="N60" s="39"/>
    </row>
    <row r="61" spans="1:14" ht="14.25" thickTop="1" thickBot="1">
      <c r="A61" s="49"/>
      <c r="B61" s="116"/>
      <c r="C61" s="43"/>
      <c r="D61" s="46"/>
      <c r="E61" s="43"/>
      <c r="F61" s="46"/>
      <c r="G61" s="43"/>
      <c r="H61" s="46"/>
      <c r="I61" s="43"/>
      <c r="J61" s="46"/>
      <c r="K61" s="43"/>
      <c r="L61" s="46"/>
      <c r="M61" s="39"/>
      <c r="N61" s="39"/>
    </row>
    <row r="62" spans="1:14" ht="14.25" thickTop="1" thickBot="1">
      <c r="A62" s="49"/>
      <c r="B62" s="116"/>
      <c r="C62" s="43"/>
      <c r="D62" s="46"/>
      <c r="E62" s="43"/>
      <c r="F62" s="46"/>
      <c r="G62" s="43"/>
      <c r="H62" s="46"/>
      <c r="I62" s="43"/>
      <c r="J62" s="46"/>
      <c r="K62" s="43"/>
      <c r="L62" s="46"/>
      <c r="M62" s="39"/>
      <c r="N62" s="39"/>
    </row>
    <row r="63" spans="1:14" ht="14.25" thickTop="1" thickBot="1">
      <c r="A63" s="49"/>
      <c r="B63" s="116"/>
      <c r="C63" s="43"/>
      <c r="D63" s="46"/>
      <c r="E63" s="43"/>
      <c r="F63" s="46"/>
      <c r="G63" s="43"/>
      <c r="H63" s="46"/>
      <c r="I63" s="43"/>
      <c r="J63" s="46"/>
      <c r="K63" s="43"/>
      <c r="L63" s="46"/>
      <c r="M63" s="39"/>
      <c r="N63" s="39"/>
    </row>
    <row r="64" spans="1:14" ht="14.25" thickTop="1" thickBot="1">
      <c r="A64" s="49"/>
      <c r="B64" s="116"/>
      <c r="C64" s="43"/>
      <c r="D64" s="46"/>
      <c r="E64" s="43"/>
      <c r="F64" s="46"/>
      <c r="G64" s="43"/>
      <c r="H64" s="46"/>
      <c r="I64" s="43"/>
      <c r="J64" s="46"/>
      <c r="K64" s="43"/>
      <c r="L64" s="46"/>
      <c r="M64" s="39"/>
      <c r="N64" s="39"/>
    </row>
    <row r="65" spans="1:14" s="40" customFormat="1" ht="14.25" thickTop="1" thickBot="1">
      <c r="A65" s="39"/>
      <c r="B65" s="115"/>
      <c r="C65" s="42"/>
      <c r="D65" s="45"/>
      <c r="E65" s="42"/>
      <c r="F65" s="45"/>
      <c r="G65" s="42"/>
      <c r="H65" s="45"/>
      <c r="I65" s="42"/>
      <c r="J65" s="45"/>
      <c r="K65" s="42"/>
      <c r="L65" s="45"/>
      <c r="M65" s="39"/>
      <c r="N65" s="39"/>
    </row>
    <row r="66" spans="1:14" ht="14.25" thickTop="1" thickBot="1">
      <c r="A66" s="49"/>
      <c r="B66" s="116"/>
      <c r="C66" s="43"/>
      <c r="D66" s="46"/>
      <c r="E66" s="43"/>
      <c r="F66" s="46"/>
      <c r="G66" s="43"/>
      <c r="H66" s="46"/>
      <c r="I66" s="43"/>
      <c r="J66" s="46"/>
      <c r="K66" s="43"/>
      <c r="L66" s="46"/>
      <c r="M66" s="39"/>
      <c r="N66" s="39"/>
    </row>
    <row r="67" spans="1:14" ht="14.25" thickTop="1" thickBot="1">
      <c r="A67" s="49"/>
      <c r="B67" s="116"/>
      <c r="C67" s="43"/>
      <c r="D67" s="46"/>
      <c r="E67" s="43"/>
      <c r="F67" s="46"/>
      <c r="G67" s="43"/>
      <c r="H67" s="46"/>
      <c r="I67" s="43"/>
      <c r="J67" s="46"/>
      <c r="K67" s="43"/>
      <c r="L67" s="46"/>
      <c r="M67" s="39"/>
      <c r="N67" s="39"/>
    </row>
    <row r="68" spans="1:14" ht="14.25" thickTop="1" thickBot="1">
      <c r="A68" s="49"/>
      <c r="B68" s="116"/>
      <c r="C68" s="43"/>
      <c r="D68" s="46"/>
      <c r="E68" s="43"/>
      <c r="F68" s="46"/>
      <c r="G68" s="43"/>
      <c r="H68" s="46"/>
      <c r="I68" s="43"/>
      <c r="J68" s="46"/>
      <c r="K68" s="43"/>
      <c r="L68" s="46"/>
      <c r="M68" s="39"/>
      <c r="N68" s="39"/>
    </row>
    <row r="69" spans="1:14" ht="14.25" thickTop="1" thickBot="1">
      <c r="A69" s="49"/>
      <c r="B69" s="116"/>
      <c r="C69" s="43"/>
      <c r="D69" s="46"/>
      <c r="E69" s="43"/>
      <c r="F69" s="46"/>
      <c r="G69" s="43"/>
      <c r="H69" s="46"/>
      <c r="I69" s="43"/>
      <c r="J69" s="46"/>
      <c r="K69" s="43"/>
      <c r="L69" s="46"/>
      <c r="M69" s="39"/>
      <c r="N69" s="39"/>
    </row>
    <row r="70" spans="1:14" ht="14.25" thickTop="1" thickBot="1">
      <c r="A70" s="49"/>
      <c r="B70" s="116"/>
      <c r="C70" s="43"/>
      <c r="D70" s="46"/>
      <c r="E70" s="43"/>
      <c r="F70" s="46"/>
      <c r="G70" s="43"/>
      <c r="H70" s="46"/>
      <c r="I70" s="43"/>
      <c r="J70" s="46"/>
      <c r="K70" s="43"/>
      <c r="L70" s="46"/>
      <c r="M70" s="39"/>
      <c r="N70" s="39"/>
    </row>
    <row r="71" spans="1:14" ht="14.25" thickTop="1" thickBot="1">
      <c r="A71" s="49"/>
      <c r="B71" s="116"/>
      <c r="C71" s="43"/>
      <c r="D71" s="46"/>
      <c r="E71" s="43"/>
      <c r="F71" s="46"/>
      <c r="G71" s="43"/>
      <c r="H71" s="46"/>
      <c r="I71" s="43"/>
      <c r="J71" s="46"/>
      <c r="K71" s="43"/>
      <c r="L71" s="46"/>
      <c r="M71" s="39"/>
      <c r="N71" s="39"/>
    </row>
    <row r="72" spans="1:14" s="40" customFormat="1" ht="14.25" thickTop="1" thickBot="1">
      <c r="A72" s="39"/>
      <c r="B72" s="115"/>
      <c r="C72" s="42"/>
      <c r="D72" s="45"/>
      <c r="E72" s="42"/>
      <c r="F72" s="45"/>
      <c r="G72" s="42"/>
      <c r="H72" s="45"/>
      <c r="I72" s="42"/>
      <c r="J72" s="45"/>
      <c r="K72" s="42"/>
      <c r="L72" s="45"/>
      <c r="M72" s="39"/>
      <c r="N72" s="39"/>
    </row>
    <row r="73" spans="1:14" ht="14.25" thickTop="1" thickBot="1">
      <c r="A73" s="49"/>
      <c r="B73" s="116"/>
      <c r="C73" s="43"/>
      <c r="D73" s="46"/>
      <c r="E73" s="43"/>
      <c r="F73" s="46"/>
      <c r="G73" s="43"/>
      <c r="H73" s="46"/>
      <c r="I73" s="43"/>
      <c r="J73" s="46"/>
      <c r="K73" s="43"/>
      <c r="L73" s="46"/>
      <c r="M73" s="39"/>
      <c r="N73" s="39"/>
    </row>
    <row r="74" spans="1:14" ht="14.25" thickTop="1" thickBot="1">
      <c r="A74" s="49"/>
      <c r="B74" s="116"/>
      <c r="C74" s="43"/>
      <c r="D74" s="46"/>
      <c r="E74" s="43"/>
      <c r="F74" s="46"/>
      <c r="G74" s="43"/>
      <c r="H74" s="46"/>
      <c r="I74" s="43"/>
      <c r="J74" s="46"/>
      <c r="K74" s="43"/>
      <c r="L74" s="46"/>
      <c r="M74" s="39"/>
      <c r="N74" s="39"/>
    </row>
    <row r="75" spans="1:14" ht="14.25" thickTop="1" thickBot="1">
      <c r="A75" s="49"/>
      <c r="B75" s="116"/>
      <c r="C75" s="43"/>
      <c r="D75" s="46"/>
      <c r="E75" s="43"/>
      <c r="F75" s="46"/>
      <c r="G75" s="43"/>
      <c r="H75" s="46"/>
      <c r="I75" s="43"/>
      <c r="J75" s="46"/>
      <c r="K75" s="43"/>
      <c r="L75" s="46"/>
      <c r="M75" s="39"/>
      <c r="N75" s="39"/>
    </row>
    <row r="76" spans="1:14" ht="14.25" thickTop="1" thickBot="1">
      <c r="A76" s="49"/>
      <c r="B76" s="116"/>
      <c r="C76" s="43"/>
      <c r="D76" s="46"/>
      <c r="E76" s="43"/>
      <c r="F76" s="46"/>
      <c r="G76" s="43"/>
      <c r="H76" s="46"/>
      <c r="I76" s="43"/>
      <c r="J76" s="46"/>
      <c r="K76" s="43"/>
      <c r="L76" s="46"/>
      <c r="M76" s="39"/>
      <c r="N76" s="39"/>
    </row>
    <row r="77" spans="1:14" ht="14.25" thickTop="1" thickBot="1">
      <c r="A77" s="49"/>
      <c r="B77" s="116"/>
      <c r="C77" s="43"/>
      <c r="D77" s="46"/>
      <c r="E77" s="43"/>
      <c r="F77" s="46"/>
      <c r="G77" s="43"/>
      <c r="H77" s="46"/>
      <c r="I77" s="43"/>
      <c r="J77" s="46"/>
      <c r="K77" s="43"/>
      <c r="L77" s="46"/>
      <c r="M77" s="39"/>
      <c r="N77" s="39"/>
    </row>
    <row r="78" spans="1:14" ht="14.25" thickTop="1" thickBot="1">
      <c r="A78" s="49"/>
      <c r="B78" s="116"/>
      <c r="C78" s="43"/>
      <c r="D78" s="46"/>
      <c r="E78" s="43"/>
      <c r="F78" s="46"/>
      <c r="G78" s="43"/>
      <c r="H78" s="46"/>
      <c r="I78" s="43"/>
      <c r="J78" s="46"/>
      <c r="K78" s="43"/>
      <c r="L78" s="46"/>
      <c r="M78" s="39"/>
      <c r="N78" s="39"/>
    </row>
    <row r="79" spans="1:14" s="40" customFormat="1" ht="14.25" thickTop="1" thickBot="1">
      <c r="A79" s="39"/>
      <c r="B79" s="115"/>
      <c r="C79" s="42"/>
      <c r="D79" s="45"/>
      <c r="E79" s="42"/>
      <c r="F79" s="45"/>
      <c r="G79" s="42"/>
      <c r="H79" s="45"/>
      <c r="I79" s="42"/>
      <c r="J79" s="45"/>
      <c r="K79" s="42"/>
      <c r="L79" s="45"/>
      <c r="M79" s="39"/>
      <c r="N79" s="39"/>
    </row>
    <row r="80" spans="1:14" ht="14.25" thickTop="1" thickBot="1">
      <c r="A80" s="49"/>
      <c r="B80" s="116"/>
      <c r="C80" s="43"/>
      <c r="D80" s="46"/>
      <c r="E80" s="43"/>
      <c r="F80" s="46"/>
      <c r="G80" s="43"/>
      <c r="H80" s="46"/>
      <c r="I80" s="43"/>
      <c r="J80" s="46"/>
      <c r="K80" s="43"/>
      <c r="L80" s="46"/>
      <c r="M80" s="39"/>
      <c r="N80" s="39"/>
    </row>
    <row r="81" spans="1:14" ht="14.25" thickTop="1" thickBot="1">
      <c r="A81" s="49"/>
      <c r="B81" s="116"/>
      <c r="C81" s="43"/>
      <c r="D81" s="46"/>
      <c r="E81" s="43"/>
      <c r="F81" s="46"/>
      <c r="G81" s="43"/>
      <c r="H81" s="46"/>
      <c r="I81" s="43"/>
      <c r="J81" s="46"/>
      <c r="K81" s="43"/>
      <c r="L81" s="46"/>
      <c r="M81" s="39"/>
      <c r="N81" s="39"/>
    </row>
    <row r="82" spans="1:14" ht="14.25" thickTop="1" thickBot="1">
      <c r="A82" s="49"/>
      <c r="B82" s="116"/>
      <c r="C82" s="43"/>
      <c r="D82" s="46"/>
      <c r="E82" s="43"/>
      <c r="F82" s="46"/>
      <c r="G82" s="43"/>
      <c r="H82" s="46"/>
      <c r="I82" s="43"/>
      <c r="J82" s="46"/>
      <c r="K82" s="43"/>
      <c r="L82" s="46"/>
      <c r="M82" s="39"/>
      <c r="N82" s="39"/>
    </row>
    <row r="83" spans="1:14" ht="14.25" thickTop="1" thickBot="1">
      <c r="A83" s="49"/>
      <c r="B83" s="116"/>
      <c r="C83" s="43"/>
      <c r="D83" s="46"/>
      <c r="E83" s="43"/>
      <c r="F83" s="46"/>
      <c r="G83" s="43"/>
      <c r="H83" s="46"/>
      <c r="I83" s="43"/>
      <c r="J83" s="46"/>
      <c r="K83" s="43"/>
      <c r="L83" s="46"/>
      <c r="M83" s="39"/>
      <c r="N83" s="39"/>
    </row>
    <row r="84" spans="1:14" ht="14.25" thickTop="1" thickBot="1">
      <c r="A84" s="49"/>
      <c r="B84" s="116"/>
      <c r="C84" s="43"/>
      <c r="D84" s="46"/>
      <c r="E84" s="43"/>
      <c r="F84" s="46"/>
      <c r="G84" s="43"/>
      <c r="H84" s="46"/>
      <c r="I84" s="43"/>
      <c r="J84" s="46"/>
      <c r="K84" s="43"/>
      <c r="L84" s="46"/>
      <c r="M84" s="39"/>
      <c r="N84" s="39"/>
    </row>
    <row r="85" spans="1:14" ht="14.25" thickTop="1" thickBot="1">
      <c r="A85" s="49"/>
      <c r="B85" s="116"/>
      <c r="C85" s="43"/>
      <c r="D85" s="46"/>
      <c r="E85" s="43"/>
      <c r="F85" s="46"/>
      <c r="G85" s="43"/>
      <c r="H85" s="46"/>
      <c r="I85" s="43"/>
      <c r="J85" s="46"/>
      <c r="K85" s="43"/>
      <c r="L85" s="46"/>
      <c r="M85" s="39"/>
      <c r="N85" s="39"/>
    </row>
    <row r="86" spans="1:14" s="40" customFormat="1" ht="14.25" thickTop="1" thickBot="1">
      <c r="A86" s="39"/>
      <c r="B86" s="115"/>
      <c r="C86" s="42"/>
      <c r="D86" s="45"/>
      <c r="E86" s="42"/>
      <c r="F86" s="45"/>
      <c r="G86" s="42"/>
      <c r="H86" s="45"/>
      <c r="I86" s="42"/>
      <c r="J86" s="45"/>
      <c r="K86" s="42"/>
      <c r="L86" s="45"/>
      <c r="M86" s="39"/>
      <c r="N86" s="39"/>
    </row>
    <row r="87" spans="1:14" ht="14.25" thickTop="1" thickBot="1">
      <c r="A87" s="49"/>
      <c r="B87" s="116"/>
      <c r="C87" s="43"/>
      <c r="D87" s="46"/>
      <c r="E87" s="43"/>
      <c r="F87" s="46"/>
      <c r="G87" s="43"/>
      <c r="H87" s="46"/>
      <c r="I87" s="43"/>
      <c r="J87" s="46"/>
      <c r="K87" s="43"/>
      <c r="L87" s="46"/>
      <c r="M87" s="39"/>
      <c r="N87" s="39"/>
    </row>
    <row r="88" spans="1:14" ht="14.25" thickTop="1" thickBot="1">
      <c r="A88" s="49"/>
      <c r="B88" s="116"/>
      <c r="C88" s="43"/>
      <c r="D88" s="46"/>
      <c r="E88" s="43"/>
      <c r="F88" s="46"/>
      <c r="G88" s="43"/>
      <c r="H88" s="46"/>
      <c r="I88" s="43"/>
      <c r="J88" s="46"/>
      <c r="K88" s="43"/>
      <c r="L88" s="46"/>
      <c r="M88" s="39"/>
      <c r="N88" s="39"/>
    </row>
    <row r="89" spans="1:14" ht="14.25" thickTop="1" thickBot="1">
      <c r="A89" s="49"/>
      <c r="B89" s="116"/>
      <c r="C89" s="43"/>
      <c r="D89" s="46"/>
      <c r="E89" s="43"/>
      <c r="F89" s="46"/>
      <c r="G89" s="43"/>
      <c r="H89" s="46"/>
      <c r="I89" s="43"/>
      <c r="J89" s="46"/>
      <c r="K89" s="43"/>
      <c r="L89" s="46"/>
      <c r="M89" s="39"/>
      <c r="N89" s="39"/>
    </row>
    <row r="90" spans="1:14" ht="14.25" thickTop="1" thickBot="1">
      <c r="A90" s="49"/>
      <c r="B90" s="116"/>
      <c r="C90" s="43"/>
      <c r="D90" s="46"/>
      <c r="E90" s="43"/>
      <c r="F90" s="46"/>
      <c r="G90" s="43"/>
      <c r="H90" s="46"/>
      <c r="I90" s="43"/>
      <c r="J90" s="46"/>
      <c r="K90" s="43"/>
      <c r="L90" s="46"/>
      <c r="M90" s="39"/>
      <c r="N90" s="39"/>
    </row>
    <row r="91" spans="1:14" ht="14.25" thickTop="1" thickBot="1">
      <c r="A91" s="49"/>
      <c r="B91" s="116"/>
      <c r="C91" s="43"/>
      <c r="D91" s="46"/>
      <c r="E91" s="43"/>
      <c r="F91" s="46"/>
      <c r="G91" s="43"/>
      <c r="H91" s="46"/>
      <c r="I91" s="43"/>
      <c r="J91" s="46"/>
      <c r="K91" s="43"/>
      <c r="L91" s="46"/>
      <c r="M91" s="39"/>
      <c r="N91" s="39"/>
    </row>
    <row r="92" spans="1:14" ht="14.25" thickTop="1" thickBot="1">
      <c r="A92" s="49"/>
      <c r="B92" s="116"/>
      <c r="C92" s="43"/>
      <c r="D92" s="46"/>
      <c r="E92" s="43"/>
      <c r="F92" s="46"/>
      <c r="G92" s="43"/>
      <c r="H92" s="46"/>
      <c r="I92" s="43"/>
      <c r="J92" s="46"/>
      <c r="K92" s="43"/>
      <c r="L92" s="46"/>
      <c r="M92" s="39"/>
      <c r="N92" s="39"/>
    </row>
    <row r="93" spans="1:14" s="40" customFormat="1" ht="14.25" thickTop="1" thickBot="1">
      <c r="A93" s="39"/>
      <c r="B93" s="115"/>
      <c r="C93" s="42"/>
      <c r="D93" s="45"/>
      <c r="E93" s="42"/>
      <c r="F93" s="45"/>
      <c r="G93" s="42"/>
      <c r="H93" s="45"/>
      <c r="I93" s="42"/>
      <c r="J93" s="45"/>
      <c r="K93" s="42"/>
      <c r="L93" s="45"/>
      <c r="M93" s="39"/>
      <c r="N93" s="39"/>
    </row>
    <row r="94" spans="1:14" ht="14.25" thickTop="1" thickBot="1">
      <c r="A94" s="49"/>
      <c r="B94" s="116"/>
      <c r="C94" s="43"/>
      <c r="D94" s="46"/>
      <c r="E94" s="43"/>
      <c r="F94" s="46"/>
      <c r="G94" s="43"/>
      <c r="H94" s="46"/>
      <c r="I94" s="43"/>
      <c r="J94" s="46"/>
      <c r="K94" s="43"/>
      <c r="L94" s="46"/>
      <c r="M94" s="39"/>
      <c r="N94" s="39"/>
    </row>
    <row r="95" spans="1:14" ht="14.25" thickTop="1" thickBot="1">
      <c r="A95" s="49"/>
      <c r="B95" s="116"/>
      <c r="C95" s="43"/>
      <c r="D95" s="46"/>
      <c r="E95" s="43"/>
      <c r="F95" s="46"/>
      <c r="G95" s="43"/>
      <c r="H95" s="46"/>
      <c r="I95" s="43"/>
      <c r="J95" s="46"/>
      <c r="K95" s="43"/>
      <c r="L95" s="46"/>
      <c r="M95" s="39"/>
      <c r="N95" s="39"/>
    </row>
    <row r="96" spans="1:14" ht="14.25" thickTop="1" thickBot="1">
      <c r="A96" s="49"/>
      <c r="B96" s="116"/>
      <c r="C96" s="43"/>
      <c r="D96" s="46"/>
      <c r="E96" s="43"/>
      <c r="F96" s="46"/>
      <c r="G96" s="43"/>
      <c r="H96" s="46"/>
      <c r="I96" s="43"/>
      <c r="J96" s="46"/>
      <c r="K96" s="43"/>
      <c r="L96" s="46"/>
      <c r="M96" s="39"/>
      <c r="N96" s="39"/>
    </row>
    <row r="97" spans="1:14" ht="14.25" thickTop="1" thickBot="1">
      <c r="A97" s="49"/>
      <c r="B97" s="116"/>
      <c r="C97" s="43"/>
      <c r="D97" s="46"/>
      <c r="E97" s="43"/>
      <c r="F97" s="46"/>
      <c r="G97" s="43"/>
      <c r="H97" s="46"/>
      <c r="I97" s="43"/>
      <c r="J97" s="46"/>
      <c r="K97" s="43"/>
      <c r="L97" s="46"/>
      <c r="M97" s="39"/>
      <c r="N97" s="39"/>
    </row>
    <row r="98" spans="1:14" ht="14.25" thickTop="1" thickBot="1">
      <c r="A98" s="49"/>
      <c r="B98" s="116"/>
      <c r="C98" s="43"/>
      <c r="D98" s="46"/>
      <c r="E98" s="43"/>
      <c r="F98" s="46"/>
      <c r="G98" s="43"/>
      <c r="H98" s="46"/>
      <c r="I98" s="43"/>
      <c r="J98" s="46"/>
      <c r="K98" s="43"/>
      <c r="L98" s="46"/>
      <c r="M98" s="39"/>
      <c r="N98" s="39"/>
    </row>
    <row r="99" spans="1:14" ht="14.25" thickTop="1" thickBot="1">
      <c r="A99" s="49"/>
      <c r="B99" s="116"/>
      <c r="C99" s="43"/>
      <c r="D99" s="46"/>
      <c r="E99" s="43"/>
      <c r="F99" s="46"/>
      <c r="G99" s="43"/>
      <c r="H99" s="46"/>
      <c r="I99" s="43"/>
      <c r="J99" s="46"/>
      <c r="K99" s="43"/>
      <c r="L99" s="46"/>
      <c r="M99" s="39"/>
      <c r="N99" s="39"/>
    </row>
    <row r="100" spans="1:14" s="40" customFormat="1" ht="14.25" thickTop="1" thickBot="1">
      <c r="A100" s="39"/>
      <c r="B100" s="115"/>
      <c r="C100" s="42"/>
      <c r="D100" s="45"/>
      <c r="E100" s="42"/>
      <c r="F100" s="45"/>
      <c r="G100" s="42"/>
      <c r="H100" s="45"/>
      <c r="I100" s="42"/>
      <c r="J100" s="45"/>
      <c r="K100" s="42"/>
      <c r="L100" s="45"/>
      <c r="M100" s="39"/>
      <c r="N100" s="39"/>
    </row>
    <row r="101" spans="1:14" ht="14.25" thickTop="1" thickBot="1">
      <c r="A101" s="49"/>
      <c r="B101" s="116"/>
      <c r="C101" s="43"/>
      <c r="D101" s="46"/>
      <c r="E101" s="43"/>
      <c r="F101" s="46"/>
      <c r="G101" s="43"/>
      <c r="H101" s="46"/>
      <c r="I101" s="43"/>
      <c r="J101" s="46"/>
      <c r="K101" s="43"/>
      <c r="L101" s="46"/>
      <c r="M101" s="39"/>
      <c r="N101" s="39"/>
    </row>
    <row r="102" spans="1:14" ht="14.25" thickTop="1" thickBot="1">
      <c r="A102" s="49"/>
      <c r="B102" s="116"/>
      <c r="C102" s="43"/>
      <c r="D102" s="46"/>
      <c r="E102" s="43"/>
      <c r="F102" s="46"/>
      <c r="G102" s="43"/>
      <c r="H102" s="46"/>
      <c r="I102" s="43"/>
      <c r="J102" s="46"/>
      <c r="K102" s="43"/>
      <c r="L102" s="46"/>
      <c r="M102" s="39"/>
      <c r="N102" s="39"/>
    </row>
    <row r="103" spans="1:14" ht="14.25" thickTop="1" thickBot="1">
      <c r="A103" s="49"/>
      <c r="B103" s="116"/>
      <c r="C103" s="43"/>
      <c r="D103" s="46"/>
      <c r="E103" s="43"/>
      <c r="F103" s="46"/>
      <c r="G103" s="43"/>
      <c r="H103" s="46"/>
      <c r="I103" s="43"/>
      <c r="J103" s="46"/>
      <c r="K103" s="43"/>
      <c r="L103" s="46"/>
      <c r="M103" s="39"/>
      <c r="N103" s="39"/>
    </row>
    <row r="104" spans="1:14" ht="14.25" thickTop="1" thickBot="1">
      <c r="A104" s="49"/>
      <c r="B104" s="116"/>
      <c r="C104" s="43"/>
      <c r="D104" s="46"/>
      <c r="E104" s="43"/>
      <c r="F104" s="46"/>
      <c r="G104" s="43"/>
      <c r="H104" s="46"/>
      <c r="I104" s="43"/>
      <c r="J104" s="46"/>
      <c r="K104" s="43"/>
      <c r="L104" s="46"/>
      <c r="M104" s="39"/>
      <c r="N104" s="39"/>
    </row>
    <row r="105" spans="1:14" ht="14.25" thickTop="1" thickBot="1">
      <c r="A105" s="49"/>
      <c r="B105" s="116"/>
      <c r="C105" s="43"/>
      <c r="D105" s="46"/>
      <c r="E105" s="43"/>
      <c r="F105" s="46"/>
      <c r="G105" s="43"/>
      <c r="H105" s="46"/>
      <c r="I105" s="43"/>
      <c r="J105" s="46"/>
      <c r="K105" s="43"/>
      <c r="L105" s="46"/>
      <c r="M105" s="39"/>
      <c r="N105" s="39"/>
    </row>
    <row r="106" spans="1:14" ht="14.25" thickTop="1" thickBot="1">
      <c r="A106" s="49"/>
      <c r="B106" s="116"/>
      <c r="C106" s="43"/>
      <c r="D106" s="46"/>
      <c r="E106" s="43"/>
      <c r="F106" s="46"/>
      <c r="G106" s="43"/>
      <c r="H106" s="46"/>
      <c r="I106" s="43"/>
      <c r="J106" s="46"/>
      <c r="K106" s="43"/>
      <c r="L106" s="46"/>
      <c r="M106" s="39"/>
      <c r="N106" s="39"/>
    </row>
    <row r="107" spans="1:14" s="40" customFormat="1" ht="14.25" thickTop="1" thickBot="1">
      <c r="A107" s="39"/>
      <c r="B107" s="115"/>
      <c r="C107" s="42"/>
      <c r="D107" s="45"/>
      <c r="E107" s="42"/>
      <c r="F107" s="45"/>
      <c r="G107" s="42"/>
      <c r="H107" s="45"/>
      <c r="I107" s="42"/>
      <c r="J107" s="45"/>
      <c r="K107" s="42"/>
      <c r="L107" s="45"/>
      <c r="M107" s="39"/>
      <c r="N107" s="39"/>
    </row>
    <row r="108" spans="1:14" ht="14.25" thickTop="1" thickBot="1">
      <c r="A108" s="49"/>
      <c r="B108" s="116"/>
      <c r="C108" s="43"/>
      <c r="D108" s="46"/>
      <c r="E108" s="43"/>
      <c r="F108" s="46"/>
      <c r="G108" s="43"/>
      <c r="H108" s="46"/>
      <c r="I108" s="43"/>
      <c r="J108" s="46"/>
      <c r="K108" s="43"/>
      <c r="L108" s="46"/>
      <c r="M108" s="39"/>
      <c r="N108" s="39"/>
    </row>
    <row r="109" spans="1:14" ht="14.25" thickTop="1" thickBot="1">
      <c r="A109" s="49"/>
      <c r="B109" s="116"/>
      <c r="C109" s="43"/>
      <c r="D109" s="46"/>
      <c r="E109" s="43"/>
      <c r="F109" s="46"/>
      <c r="G109" s="43"/>
      <c r="H109" s="46"/>
      <c r="I109" s="43"/>
      <c r="J109" s="46"/>
      <c r="K109" s="43"/>
      <c r="L109" s="46"/>
      <c r="M109" s="39"/>
      <c r="N109" s="39"/>
    </row>
    <row r="110" spans="1:14" ht="14.25" thickTop="1" thickBot="1">
      <c r="A110" s="49"/>
      <c r="B110" s="116"/>
      <c r="C110" s="43"/>
      <c r="D110" s="46"/>
      <c r="E110" s="43"/>
      <c r="F110" s="46"/>
      <c r="G110" s="43"/>
      <c r="H110" s="46"/>
      <c r="I110" s="43"/>
      <c r="J110" s="46"/>
      <c r="K110" s="43"/>
      <c r="L110" s="46"/>
      <c r="M110" s="39"/>
      <c r="N110" s="39"/>
    </row>
    <row r="111" spans="1:14" ht="14.25" thickTop="1" thickBot="1">
      <c r="A111" s="49"/>
      <c r="B111" s="116"/>
      <c r="C111" s="43"/>
      <c r="D111" s="46"/>
      <c r="E111" s="43"/>
      <c r="F111" s="46"/>
      <c r="G111" s="43"/>
      <c r="H111" s="46"/>
      <c r="I111" s="43"/>
      <c r="J111" s="46"/>
      <c r="K111" s="43"/>
      <c r="L111" s="46"/>
      <c r="M111" s="39"/>
      <c r="N111" s="39"/>
    </row>
    <row r="112" spans="1:14" ht="14.25" thickTop="1" thickBot="1">
      <c r="A112" s="49"/>
      <c r="B112" s="116"/>
      <c r="C112" s="43"/>
      <c r="D112" s="46"/>
      <c r="E112" s="43"/>
      <c r="F112" s="46"/>
      <c r="G112" s="43"/>
      <c r="H112" s="46"/>
      <c r="I112" s="43"/>
      <c r="J112" s="46"/>
      <c r="K112" s="43"/>
      <c r="L112" s="46"/>
      <c r="M112" s="39"/>
      <c r="N112" s="39"/>
    </row>
    <row r="113" spans="1:14" ht="14.25" thickTop="1" thickBot="1">
      <c r="A113" s="49"/>
      <c r="B113" s="116"/>
      <c r="C113" s="43"/>
      <c r="D113" s="46"/>
      <c r="E113" s="43"/>
      <c r="F113" s="46"/>
      <c r="G113" s="43"/>
      <c r="H113" s="46"/>
      <c r="I113" s="43"/>
      <c r="J113" s="46"/>
      <c r="K113" s="43"/>
      <c r="L113" s="46"/>
      <c r="M113" s="39"/>
      <c r="N113" s="39"/>
    </row>
    <row r="114" spans="1:14" s="40" customFormat="1" ht="14.25" thickTop="1" thickBot="1">
      <c r="A114" s="39"/>
      <c r="B114" s="115"/>
      <c r="C114" s="42"/>
      <c r="D114" s="45"/>
      <c r="E114" s="42"/>
      <c r="F114" s="45"/>
      <c r="G114" s="42"/>
      <c r="H114" s="45"/>
      <c r="I114" s="42"/>
      <c r="J114" s="45"/>
      <c r="K114" s="42"/>
      <c r="L114" s="45"/>
      <c r="M114" s="39"/>
      <c r="N114" s="39"/>
    </row>
    <row r="115" spans="1:14" ht="14.25" thickTop="1" thickBot="1">
      <c r="A115" s="49"/>
      <c r="B115" s="116"/>
      <c r="C115" s="43"/>
      <c r="D115" s="46"/>
      <c r="E115" s="43"/>
      <c r="F115" s="46"/>
      <c r="G115" s="43"/>
      <c r="H115" s="46"/>
      <c r="I115" s="43"/>
      <c r="J115" s="46"/>
      <c r="K115" s="43"/>
      <c r="L115" s="46"/>
      <c r="M115" s="39"/>
      <c r="N115" s="39"/>
    </row>
    <row r="116" spans="1:14" ht="14.25" thickTop="1" thickBot="1">
      <c r="A116" s="49"/>
      <c r="B116" s="116"/>
      <c r="C116" s="43"/>
      <c r="D116" s="46"/>
      <c r="E116" s="43"/>
      <c r="F116" s="46"/>
      <c r="G116" s="43"/>
      <c r="H116" s="46"/>
      <c r="I116" s="43"/>
      <c r="J116" s="46"/>
      <c r="K116" s="43"/>
      <c r="L116" s="46"/>
      <c r="M116" s="39"/>
      <c r="N116" s="39"/>
    </row>
    <row r="117" spans="1:14" ht="14.25" thickTop="1" thickBot="1">
      <c r="A117" s="49"/>
      <c r="B117" s="116"/>
      <c r="C117" s="43"/>
      <c r="D117" s="46"/>
      <c r="E117" s="43"/>
      <c r="F117" s="46"/>
      <c r="G117" s="43"/>
      <c r="H117" s="46"/>
      <c r="I117" s="43"/>
      <c r="J117" s="46"/>
      <c r="K117" s="43"/>
      <c r="L117" s="46"/>
      <c r="M117" s="39"/>
      <c r="N117" s="39"/>
    </row>
    <row r="118" spans="1:14" ht="14.25" thickTop="1" thickBot="1">
      <c r="A118" s="49"/>
      <c r="B118" s="116"/>
      <c r="C118" s="43"/>
      <c r="D118" s="46"/>
      <c r="E118" s="43"/>
      <c r="F118" s="46"/>
      <c r="G118" s="43"/>
      <c r="H118" s="46"/>
      <c r="I118" s="43"/>
      <c r="J118" s="46"/>
      <c r="K118" s="43"/>
      <c r="L118" s="46"/>
      <c r="M118" s="39"/>
      <c r="N118" s="39"/>
    </row>
    <row r="119" spans="1:14" ht="14.25" thickTop="1" thickBot="1">
      <c r="A119" s="49"/>
      <c r="B119" s="116"/>
      <c r="C119" s="43"/>
      <c r="D119" s="46"/>
      <c r="E119" s="43"/>
      <c r="F119" s="46"/>
      <c r="G119" s="43"/>
      <c r="H119" s="46"/>
      <c r="I119" s="43"/>
      <c r="J119" s="46"/>
      <c r="K119" s="43"/>
      <c r="L119" s="46"/>
      <c r="M119" s="39"/>
      <c r="N119" s="39"/>
    </row>
    <row r="120" spans="1:14" ht="14.25" thickTop="1" thickBot="1">
      <c r="A120" s="49"/>
      <c r="B120" s="116"/>
      <c r="C120" s="43"/>
      <c r="D120" s="46"/>
      <c r="E120" s="43"/>
      <c r="F120" s="46"/>
      <c r="G120" s="43"/>
      <c r="H120" s="46"/>
      <c r="I120" s="43"/>
      <c r="J120" s="46"/>
      <c r="K120" s="43"/>
      <c r="L120" s="46"/>
      <c r="M120" s="39"/>
      <c r="N120" s="39"/>
    </row>
    <row r="121" spans="1:14" s="40" customFormat="1" ht="14.25" thickTop="1" thickBot="1">
      <c r="A121" s="39"/>
      <c r="B121" s="115"/>
      <c r="C121" s="42"/>
      <c r="D121" s="45"/>
      <c r="E121" s="42"/>
      <c r="F121" s="45"/>
      <c r="G121" s="42"/>
      <c r="H121" s="45"/>
      <c r="I121" s="42"/>
      <c r="J121" s="45"/>
      <c r="K121" s="42"/>
      <c r="L121" s="45"/>
      <c r="M121" s="39"/>
      <c r="N121" s="39"/>
    </row>
    <row r="122" spans="1:14" ht="14.25" thickTop="1" thickBot="1">
      <c r="A122" s="49"/>
      <c r="B122" s="116"/>
      <c r="C122" s="43"/>
      <c r="D122" s="46"/>
      <c r="E122" s="43"/>
      <c r="F122" s="46"/>
      <c r="G122" s="43"/>
      <c r="H122" s="46"/>
      <c r="I122" s="43"/>
      <c r="J122" s="46"/>
      <c r="K122" s="43"/>
      <c r="L122" s="46"/>
      <c r="M122" s="39"/>
      <c r="N122" s="39"/>
    </row>
    <row r="123" spans="1:14" ht="14.25" thickTop="1" thickBot="1">
      <c r="A123" s="49"/>
      <c r="B123" s="116"/>
      <c r="C123" s="43"/>
      <c r="D123" s="46"/>
      <c r="E123" s="43"/>
      <c r="F123" s="46"/>
      <c r="G123" s="43"/>
      <c r="H123" s="46"/>
      <c r="I123" s="43"/>
      <c r="J123" s="46"/>
      <c r="K123" s="43"/>
      <c r="L123" s="46"/>
      <c r="M123" s="39"/>
      <c r="N123" s="39"/>
    </row>
    <row r="124" spans="1:14" ht="14.25" thickTop="1" thickBot="1">
      <c r="A124" s="49"/>
      <c r="B124" s="116"/>
      <c r="C124" s="43"/>
      <c r="D124" s="46"/>
      <c r="E124" s="43"/>
      <c r="F124" s="46"/>
      <c r="G124" s="43"/>
      <c r="H124" s="46"/>
      <c r="I124" s="43"/>
      <c r="J124" s="46"/>
      <c r="K124" s="43"/>
      <c r="L124" s="46"/>
      <c r="M124" s="39"/>
      <c r="N124" s="39"/>
    </row>
    <row r="125" spans="1:14" ht="14.25" thickTop="1" thickBot="1">
      <c r="A125" s="49"/>
      <c r="B125" s="116"/>
      <c r="C125" s="43"/>
      <c r="D125" s="46"/>
      <c r="E125" s="43"/>
      <c r="F125" s="46"/>
      <c r="G125" s="43"/>
      <c r="H125" s="46"/>
      <c r="I125" s="43"/>
      <c r="J125" s="46"/>
      <c r="K125" s="43"/>
      <c r="L125" s="46"/>
      <c r="M125" s="39"/>
      <c r="N125" s="39"/>
    </row>
    <row r="126" spans="1:14" ht="14.25" thickTop="1" thickBot="1">
      <c r="A126" s="49"/>
      <c r="B126" s="116"/>
      <c r="C126" s="43"/>
      <c r="D126" s="46"/>
      <c r="E126" s="43"/>
      <c r="F126" s="46"/>
      <c r="G126" s="43"/>
      <c r="H126" s="46"/>
      <c r="I126" s="43"/>
      <c r="J126" s="46"/>
      <c r="K126" s="43"/>
      <c r="L126" s="46"/>
      <c r="M126" s="39"/>
      <c r="N126" s="39"/>
    </row>
    <row r="127" spans="1:14" ht="14.25" thickTop="1" thickBot="1">
      <c r="A127" s="49"/>
      <c r="B127" s="116"/>
      <c r="C127" s="43"/>
      <c r="D127" s="46"/>
      <c r="E127" s="43"/>
      <c r="F127" s="46"/>
      <c r="G127" s="43"/>
      <c r="H127" s="46"/>
      <c r="I127" s="43"/>
      <c r="J127" s="46"/>
      <c r="K127" s="43"/>
      <c r="L127" s="46"/>
      <c r="M127" s="39"/>
      <c r="N127" s="39"/>
    </row>
    <row r="128" spans="1:14" s="40" customFormat="1" ht="14.25" thickTop="1" thickBot="1">
      <c r="A128" s="39"/>
      <c r="B128" s="115"/>
      <c r="C128" s="42"/>
      <c r="D128" s="45"/>
      <c r="E128" s="42"/>
      <c r="F128" s="45"/>
      <c r="G128" s="42"/>
      <c r="H128" s="45"/>
      <c r="I128" s="42"/>
      <c r="J128" s="45"/>
      <c r="K128" s="42"/>
      <c r="L128" s="45"/>
      <c r="M128" s="39"/>
      <c r="N128" s="39"/>
    </row>
    <row r="129" spans="1:14" ht="14.25" thickTop="1" thickBot="1">
      <c r="A129" s="49"/>
      <c r="B129" s="116"/>
      <c r="C129" s="43"/>
      <c r="D129" s="46"/>
      <c r="E129" s="43"/>
      <c r="F129" s="46"/>
      <c r="G129" s="43"/>
      <c r="H129" s="46"/>
      <c r="I129" s="43"/>
      <c r="J129" s="46"/>
      <c r="K129" s="43"/>
      <c r="L129" s="46"/>
      <c r="M129" s="39"/>
      <c r="N129" s="39"/>
    </row>
    <row r="130" spans="1:14" ht="14.25" thickTop="1" thickBot="1">
      <c r="A130" s="49"/>
      <c r="B130" s="116"/>
      <c r="C130" s="43"/>
      <c r="D130" s="46"/>
      <c r="E130" s="43"/>
      <c r="F130" s="46"/>
      <c r="G130" s="43"/>
      <c r="H130" s="46"/>
      <c r="I130" s="43"/>
      <c r="J130" s="46"/>
      <c r="K130" s="43"/>
      <c r="L130" s="46"/>
      <c r="M130" s="39"/>
      <c r="N130" s="39"/>
    </row>
    <row r="131" spans="1:14" ht="14.25" thickTop="1" thickBot="1">
      <c r="A131" s="49"/>
      <c r="B131" s="116"/>
      <c r="C131" s="43"/>
      <c r="D131" s="46"/>
      <c r="E131" s="43"/>
      <c r="F131" s="46"/>
      <c r="G131" s="43"/>
      <c r="H131" s="46"/>
      <c r="I131" s="43"/>
      <c r="J131" s="46"/>
      <c r="K131" s="43"/>
      <c r="L131" s="46"/>
      <c r="M131" s="39"/>
      <c r="N131" s="39"/>
    </row>
    <row r="132" spans="1:14" ht="14.25" thickTop="1" thickBot="1">
      <c r="A132" s="49"/>
      <c r="B132" s="116"/>
      <c r="C132" s="43"/>
      <c r="D132" s="46"/>
      <c r="E132" s="43"/>
      <c r="F132" s="46"/>
      <c r="G132" s="43"/>
      <c r="H132" s="46"/>
      <c r="I132" s="43"/>
      <c r="J132" s="46"/>
      <c r="K132" s="43"/>
      <c r="L132" s="46"/>
      <c r="M132" s="39"/>
      <c r="N132" s="39"/>
    </row>
    <row r="133" spans="1:14" ht="14.25" thickTop="1" thickBot="1">
      <c r="A133" s="49"/>
      <c r="B133" s="116"/>
      <c r="C133" s="43"/>
      <c r="D133" s="46"/>
      <c r="E133" s="43"/>
      <c r="F133" s="46"/>
      <c r="G133" s="43"/>
      <c r="H133" s="46"/>
      <c r="I133" s="43"/>
      <c r="J133" s="46"/>
      <c r="K133" s="43"/>
      <c r="L133" s="46"/>
      <c r="M133" s="39"/>
      <c r="N133" s="39"/>
    </row>
    <row r="134" spans="1:14" ht="14.25" thickTop="1" thickBot="1">
      <c r="A134" s="49"/>
      <c r="B134" s="116"/>
      <c r="C134" s="43"/>
      <c r="D134" s="46"/>
      <c r="E134" s="43"/>
      <c r="F134" s="46"/>
      <c r="G134" s="43"/>
      <c r="H134" s="46"/>
      <c r="I134" s="43"/>
      <c r="J134" s="46"/>
      <c r="K134" s="43"/>
      <c r="L134" s="46"/>
      <c r="M134" s="39"/>
      <c r="N134" s="39"/>
    </row>
    <row r="135" spans="1:14" s="40" customFormat="1" ht="14.25" thickTop="1" thickBot="1">
      <c r="A135" s="39"/>
      <c r="B135" s="115"/>
      <c r="C135" s="42"/>
      <c r="D135" s="45"/>
      <c r="E135" s="42"/>
      <c r="F135" s="45"/>
      <c r="G135" s="42"/>
      <c r="H135" s="45"/>
      <c r="I135" s="42"/>
      <c r="J135" s="45"/>
      <c r="K135" s="42"/>
      <c r="L135" s="45"/>
      <c r="M135" s="39"/>
      <c r="N135" s="39"/>
    </row>
    <row r="136" spans="1:14" ht="14.25" thickTop="1" thickBot="1">
      <c r="A136" s="49"/>
      <c r="B136" s="116"/>
      <c r="C136" s="43"/>
      <c r="D136" s="46"/>
      <c r="E136" s="43"/>
      <c r="F136" s="46"/>
      <c r="G136" s="43"/>
      <c r="H136" s="46"/>
      <c r="I136" s="43"/>
      <c r="J136" s="46"/>
      <c r="K136" s="43"/>
      <c r="L136" s="46"/>
      <c r="M136" s="39"/>
      <c r="N136" s="39"/>
    </row>
    <row r="137" spans="1:14" ht="14.25" thickTop="1" thickBot="1">
      <c r="A137" s="49"/>
      <c r="B137" s="116"/>
      <c r="C137" s="43"/>
      <c r="D137" s="46"/>
      <c r="E137" s="43"/>
      <c r="F137" s="46"/>
      <c r="G137" s="43"/>
      <c r="H137" s="46"/>
      <c r="I137" s="43"/>
      <c r="J137" s="46"/>
      <c r="K137" s="43"/>
      <c r="L137" s="46"/>
      <c r="M137" s="39"/>
      <c r="N137" s="39"/>
    </row>
    <row r="138" spans="1:14" ht="14.25" thickTop="1" thickBot="1">
      <c r="A138" s="49"/>
      <c r="B138" s="116"/>
      <c r="C138" s="43"/>
      <c r="D138" s="46"/>
      <c r="E138" s="43"/>
      <c r="F138" s="46"/>
      <c r="G138" s="43"/>
      <c r="H138" s="46"/>
      <c r="I138" s="43"/>
      <c r="J138" s="46"/>
      <c r="K138" s="43"/>
      <c r="L138" s="46"/>
      <c r="M138" s="39"/>
      <c r="N138" s="39"/>
    </row>
    <row r="139" spans="1:14" ht="14.25" thickTop="1" thickBot="1">
      <c r="A139" s="49"/>
      <c r="B139" s="116"/>
      <c r="C139" s="43"/>
      <c r="D139" s="46"/>
      <c r="E139" s="43"/>
      <c r="F139" s="46"/>
      <c r="G139" s="43"/>
      <c r="H139" s="46"/>
      <c r="I139" s="43"/>
      <c r="J139" s="46"/>
      <c r="K139" s="43"/>
      <c r="L139" s="46"/>
      <c r="M139" s="39"/>
      <c r="N139" s="39"/>
    </row>
    <row r="140" spans="1:14" ht="14.25" thickTop="1" thickBot="1">
      <c r="A140" s="49"/>
      <c r="B140" s="116"/>
      <c r="C140" s="43"/>
      <c r="D140" s="46"/>
      <c r="E140" s="43"/>
      <c r="F140" s="46"/>
      <c r="G140" s="43"/>
      <c r="H140" s="46"/>
      <c r="I140" s="43"/>
      <c r="J140" s="46"/>
      <c r="K140" s="43"/>
      <c r="L140" s="46"/>
      <c r="M140" s="39"/>
      <c r="N140" s="39"/>
    </row>
    <row r="141" spans="1:14" ht="14.25" thickTop="1" thickBot="1">
      <c r="A141" s="49"/>
      <c r="B141" s="116"/>
      <c r="C141" s="43"/>
      <c r="D141" s="46"/>
      <c r="E141" s="43"/>
      <c r="F141" s="46"/>
      <c r="G141" s="43"/>
      <c r="H141" s="46"/>
      <c r="I141" s="43"/>
      <c r="J141" s="46"/>
      <c r="K141" s="43"/>
      <c r="L141" s="46"/>
      <c r="M141" s="39"/>
      <c r="N141" s="39"/>
    </row>
    <row r="142" spans="1:14" s="40" customFormat="1" ht="14.25" thickTop="1" thickBot="1">
      <c r="A142" s="39"/>
      <c r="B142" s="115"/>
      <c r="C142" s="42"/>
      <c r="D142" s="45"/>
      <c r="E142" s="42"/>
      <c r="F142" s="45"/>
      <c r="G142" s="42"/>
      <c r="H142" s="45"/>
      <c r="I142" s="42"/>
      <c r="J142" s="45"/>
      <c r="K142" s="42"/>
      <c r="L142" s="45"/>
      <c r="M142" s="39"/>
      <c r="N142" s="39"/>
    </row>
    <row r="143" spans="1:14" ht="14.25" thickTop="1" thickBot="1">
      <c r="A143" s="49"/>
      <c r="B143" s="116"/>
      <c r="C143" s="43"/>
      <c r="D143" s="46"/>
      <c r="E143" s="43"/>
      <c r="F143" s="46"/>
      <c r="G143" s="43"/>
      <c r="H143" s="46"/>
      <c r="I143" s="43"/>
      <c r="J143" s="46"/>
      <c r="K143" s="43"/>
      <c r="L143" s="46"/>
      <c r="M143" s="39"/>
      <c r="N143" s="39"/>
    </row>
    <row r="144" spans="1:14" ht="14.25" thickTop="1" thickBot="1">
      <c r="A144" s="49"/>
      <c r="B144" s="116"/>
      <c r="C144" s="43"/>
      <c r="D144" s="46"/>
      <c r="E144" s="43"/>
      <c r="F144" s="46"/>
      <c r="G144" s="43"/>
      <c r="H144" s="46"/>
      <c r="I144" s="43"/>
      <c r="J144" s="46"/>
      <c r="K144" s="43"/>
      <c r="L144" s="46"/>
      <c r="M144" s="39"/>
      <c r="N144" s="39"/>
    </row>
    <row r="145" spans="1:14" ht="14.25" thickTop="1" thickBot="1">
      <c r="A145" s="49"/>
      <c r="B145" s="116"/>
      <c r="C145" s="43"/>
      <c r="D145" s="46"/>
      <c r="E145" s="43"/>
      <c r="F145" s="46"/>
      <c r="G145" s="43"/>
      <c r="H145" s="46"/>
      <c r="I145" s="43"/>
      <c r="J145" s="46"/>
      <c r="K145" s="43"/>
      <c r="L145" s="46"/>
      <c r="M145" s="39"/>
      <c r="N145" s="39"/>
    </row>
    <row r="146" spans="1:14" ht="14.25" thickTop="1" thickBot="1">
      <c r="A146" s="49"/>
      <c r="B146" s="116"/>
      <c r="C146" s="43"/>
      <c r="D146" s="46"/>
      <c r="E146" s="43"/>
      <c r="F146" s="46"/>
      <c r="G146" s="43"/>
      <c r="H146" s="46"/>
      <c r="I146" s="43"/>
      <c r="J146" s="46"/>
      <c r="K146" s="43"/>
      <c r="L146" s="46"/>
      <c r="M146" s="39"/>
      <c r="N146" s="39"/>
    </row>
    <row r="147" spans="1:14" ht="14.25" thickTop="1" thickBot="1">
      <c r="A147" s="49"/>
      <c r="B147" s="116"/>
      <c r="C147" s="43"/>
      <c r="D147" s="46"/>
      <c r="E147" s="43"/>
      <c r="F147" s="46"/>
      <c r="G147" s="43"/>
      <c r="H147" s="46"/>
      <c r="I147" s="43"/>
      <c r="J147" s="46"/>
      <c r="K147" s="43"/>
      <c r="L147" s="46"/>
      <c r="M147" s="39"/>
      <c r="N147" s="39"/>
    </row>
    <row r="148" spans="1:14" ht="14.25" thickTop="1" thickBot="1">
      <c r="A148" s="49"/>
      <c r="B148" s="116"/>
      <c r="C148" s="43"/>
      <c r="D148" s="46"/>
      <c r="E148" s="43"/>
      <c r="F148" s="46"/>
      <c r="G148" s="43"/>
      <c r="H148" s="46"/>
      <c r="I148" s="43"/>
      <c r="J148" s="46"/>
      <c r="K148" s="43"/>
      <c r="L148" s="46"/>
      <c r="M148" s="39"/>
      <c r="N148" s="39"/>
    </row>
    <row r="149" spans="1:14" s="40" customFormat="1" ht="14.25" thickTop="1" thickBot="1">
      <c r="A149" s="39"/>
      <c r="B149" s="115"/>
      <c r="C149" s="42"/>
      <c r="D149" s="45"/>
      <c r="E149" s="42"/>
      <c r="F149" s="45"/>
      <c r="G149" s="42"/>
      <c r="H149" s="45"/>
      <c r="I149" s="42"/>
      <c r="J149" s="45"/>
      <c r="K149" s="42"/>
      <c r="L149" s="45"/>
      <c r="M149" s="39"/>
      <c r="N149" s="39"/>
    </row>
    <row r="150" spans="1:14" ht="14.25" thickTop="1" thickBot="1">
      <c r="A150" s="49"/>
      <c r="B150" s="116"/>
      <c r="C150" s="43"/>
      <c r="D150" s="46"/>
      <c r="E150" s="43"/>
      <c r="F150" s="46"/>
      <c r="G150" s="43"/>
      <c r="H150" s="46"/>
      <c r="I150" s="43"/>
      <c r="J150" s="46"/>
      <c r="K150" s="43"/>
      <c r="L150" s="46"/>
      <c r="M150" s="39"/>
      <c r="N150" s="39"/>
    </row>
    <row r="151" spans="1:14" ht="14.25" thickTop="1" thickBot="1">
      <c r="A151" s="49"/>
      <c r="B151" s="116"/>
      <c r="C151" s="43"/>
      <c r="D151" s="46"/>
      <c r="E151" s="43"/>
      <c r="F151" s="46"/>
      <c r="G151" s="43"/>
      <c r="H151" s="46"/>
      <c r="I151" s="43"/>
      <c r="J151" s="46"/>
      <c r="K151" s="43"/>
      <c r="L151" s="46"/>
      <c r="M151" s="39"/>
      <c r="N151" s="39"/>
    </row>
    <row r="152" spans="1:14" ht="14.25" thickTop="1" thickBot="1">
      <c r="A152" s="49"/>
      <c r="B152" s="116"/>
      <c r="C152" s="43"/>
      <c r="D152" s="46"/>
      <c r="E152" s="43"/>
      <c r="F152" s="46"/>
      <c r="G152" s="43"/>
      <c r="H152" s="46"/>
      <c r="I152" s="43"/>
      <c r="J152" s="46"/>
      <c r="K152" s="43"/>
      <c r="L152" s="46"/>
      <c r="M152" s="39"/>
      <c r="N152" s="39"/>
    </row>
    <row r="153" spans="1:14" ht="14.25" thickTop="1" thickBot="1">
      <c r="A153" s="49"/>
      <c r="B153" s="116"/>
      <c r="C153" s="43"/>
      <c r="D153" s="46"/>
      <c r="E153" s="43"/>
      <c r="F153" s="46"/>
      <c r="G153" s="43"/>
      <c r="H153" s="46"/>
      <c r="I153" s="43"/>
      <c r="J153" s="46"/>
      <c r="K153" s="43"/>
      <c r="L153" s="46"/>
      <c r="M153" s="39"/>
      <c r="N153" s="39"/>
    </row>
    <row r="154" spans="1:14" ht="14.25" thickTop="1" thickBot="1">
      <c r="A154" s="49"/>
      <c r="B154" s="116"/>
      <c r="C154" s="43"/>
      <c r="D154" s="46"/>
      <c r="E154" s="43"/>
      <c r="F154" s="46"/>
      <c r="G154" s="43"/>
      <c r="H154" s="46"/>
      <c r="I154" s="43"/>
      <c r="J154" s="46"/>
      <c r="K154" s="43"/>
      <c r="L154" s="46"/>
      <c r="M154" s="39"/>
      <c r="N154" s="39"/>
    </row>
    <row r="155" spans="1:14" ht="14.25" thickTop="1" thickBot="1">
      <c r="A155" s="49"/>
      <c r="B155" s="116"/>
      <c r="C155" s="43"/>
      <c r="D155" s="46"/>
      <c r="E155" s="43"/>
      <c r="F155" s="46"/>
      <c r="G155" s="43"/>
      <c r="H155" s="46"/>
      <c r="I155" s="43"/>
      <c r="J155" s="46"/>
      <c r="K155" s="43"/>
      <c r="L155" s="46"/>
      <c r="M155" s="39"/>
      <c r="N155" s="39"/>
    </row>
    <row r="156" spans="1:14" s="40" customFormat="1" ht="14.25" thickTop="1" thickBot="1">
      <c r="A156" s="39"/>
      <c r="B156" s="115"/>
      <c r="C156" s="42"/>
      <c r="D156" s="45"/>
      <c r="E156" s="42"/>
      <c r="F156" s="45"/>
      <c r="G156" s="42"/>
      <c r="H156" s="45"/>
      <c r="I156" s="42"/>
      <c r="J156" s="45"/>
      <c r="K156" s="42"/>
      <c r="L156" s="45"/>
      <c r="M156" s="39"/>
      <c r="N156" s="39"/>
    </row>
    <row r="157" spans="1:14" ht="14.25" thickTop="1" thickBot="1">
      <c r="A157" s="49"/>
      <c r="B157" s="116"/>
      <c r="C157" s="43"/>
      <c r="D157" s="46"/>
      <c r="E157" s="43"/>
      <c r="F157" s="46"/>
      <c r="G157" s="43"/>
      <c r="H157" s="46"/>
      <c r="I157" s="43"/>
      <c r="J157" s="46"/>
      <c r="K157" s="43"/>
      <c r="L157" s="46"/>
      <c r="M157" s="39"/>
      <c r="N157" s="39"/>
    </row>
    <row r="158" spans="1:14" ht="14.25" thickTop="1" thickBot="1">
      <c r="A158" s="49"/>
      <c r="B158" s="116"/>
      <c r="C158" s="43"/>
      <c r="D158" s="46"/>
      <c r="E158" s="43"/>
      <c r="F158" s="46"/>
      <c r="G158" s="43"/>
      <c r="H158" s="46"/>
      <c r="I158" s="43"/>
      <c r="J158" s="46"/>
      <c r="K158" s="43"/>
      <c r="L158" s="46"/>
      <c r="M158" s="39"/>
      <c r="N158" s="39"/>
    </row>
    <row r="159" spans="1:14" ht="14.25" thickTop="1" thickBot="1">
      <c r="A159" s="49"/>
      <c r="B159" s="116"/>
      <c r="C159" s="43"/>
      <c r="D159" s="46"/>
      <c r="E159" s="43"/>
      <c r="F159" s="46"/>
      <c r="G159" s="43"/>
      <c r="H159" s="46"/>
      <c r="I159" s="43"/>
      <c r="J159" s="46"/>
      <c r="K159" s="43"/>
      <c r="L159" s="46"/>
      <c r="M159" s="39"/>
      <c r="N159" s="39"/>
    </row>
    <row r="160" spans="1:14" ht="14.25" thickTop="1" thickBot="1">
      <c r="A160" s="49"/>
      <c r="B160" s="116"/>
      <c r="C160" s="43"/>
      <c r="D160" s="46"/>
      <c r="E160" s="43"/>
      <c r="F160" s="46"/>
      <c r="G160" s="43"/>
      <c r="H160" s="46"/>
      <c r="I160" s="43"/>
      <c r="J160" s="46"/>
      <c r="K160" s="43"/>
      <c r="L160" s="46"/>
      <c r="M160" s="39"/>
      <c r="N160" s="39"/>
    </row>
    <row r="161" spans="1:14" ht="14.25" thickTop="1" thickBot="1">
      <c r="A161" s="49"/>
      <c r="B161" s="116"/>
      <c r="C161" s="43"/>
      <c r="D161" s="46"/>
      <c r="E161" s="43"/>
      <c r="F161" s="46"/>
      <c r="G161" s="43"/>
      <c r="H161" s="46"/>
      <c r="I161" s="43"/>
      <c r="J161" s="46"/>
      <c r="K161" s="43"/>
      <c r="L161" s="46"/>
      <c r="M161" s="39"/>
      <c r="N161" s="39"/>
    </row>
    <row r="162" spans="1:14" ht="14.25" thickTop="1" thickBot="1">
      <c r="A162" s="49"/>
      <c r="B162" s="116"/>
      <c r="C162" s="43"/>
      <c r="D162" s="46"/>
      <c r="E162" s="43"/>
      <c r="F162" s="46"/>
      <c r="G162" s="43"/>
      <c r="H162" s="46"/>
      <c r="I162" s="43"/>
      <c r="J162" s="46"/>
      <c r="K162" s="43"/>
      <c r="L162" s="46"/>
      <c r="M162" s="39"/>
      <c r="N162" s="39"/>
    </row>
    <row r="163" spans="1:14" s="40" customFormat="1" ht="14.25" thickTop="1" thickBot="1">
      <c r="A163" s="39"/>
      <c r="B163" s="115"/>
      <c r="C163" s="42"/>
      <c r="D163" s="45"/>
      <c r="E163" s="42"/>
      <c r="F163" s="45"/>
      <c r="G163" s="42"/>
      <c r="H163" s="45"/>
      <c r="I163" s="42"/>
      <c r="J163" s="45"/>
      <c r="K163" s="42"/>
      <c r="L163" s="45"/>
      <c r="M163" s="39"/>
      <c r="N163" s="39"/>
    </row>
    <row r="164" spans="1:14" ht="14.25" thickTop="1" thickBot="1">
      <c r="A164" s="49"/>
      <c r="B164" s="116"/>
      <c r="C164" s="43"/>
      <c r="D164" s="46"/>
      <c r="E164" s="43"/>
      <c r="F164" s="46"/>
      <c r="G164" s="43"/>
      <c r="H164" s="46"/>
      <c r="I164" s="43"/>
      <c r="J164" s="46"/>
      <c r="K164" s="43"/>
      <c r="L164" s="46"/>
      <c r="M164" s="39"/>
      <c r="N164" s="39"/>
    </row>
    <row r="165" spans="1:14" ht="14.25" thickTop="1" thickBot="1">
      <c r="A165" s="49"/>
      <c r="B165" s="116"/>
      <c r="C165" s="43"/>
      <c r="D165" s="46"/>
      <c r="E165" s="43"/>
      <c r="F165" s="46"/>
      <c r="G165" s="43"/>
      <c r="H165" s="46"/>
      <c r="I165" s="43"/>
      <c r="J165" s="46"/>
      <c r="K165" s="43"/>
      <c r="L165" s="46"/>
      <c r="M165" s="39"/>
      <c r="N165" s="39"/>
    </row>
    <row r="166" spans="1:14" ht="14.25" thickTop="1" thickBot="1">
      <c r="A166" s="49"/>
      <c r="B166" s="116"/>
      <c r="C166" s="43"/>
      <c r="D166" s="46"/>
      <c r="E166" s="43"/>
      <c r="F166" s="46"/>
      <c r="G166" s="43"/>
      <c r="H166" s="46"/>
      <c r="I166" s="43"/>
      <c r="J166" s="46"/>
      <c r="K166" s="43"/>
      <c r="L166" s="46"/>
      <c r="M166" s="39"/>
      <c r="N166" s="39"/>
    </row>
    <row r="167" spans="1:14" ht="14.25" thickTop="1" thickBot="1">
      <c r="A167" s="49"/>
      <c r="B167" s="116"/>
      <c r="C167" s="43"/>
      <c r="D167" s="46"/>
      <c r="E167" s="43"/>
      <c r="F167" s="46"/>
      <c r="G167" s="43"/>
      <c r="H167" s="46"/>
      <c r="I167" s="43"/>
      <c r="J167" s="46"/>
      <c r="K167" s="43"/>
      <c r="L167" s="46"/>
      <c r="M167" s="39"/>
      <c r="N167" s="39"/>
    </row>
    <row r="168" spans="1:14" ht="14.25" thickTop="1" thickBot="1">
      <c r="A168" s="49"/>
      <c r="B168" s="116"/>
      <c r="C168" s="43"/>
      <c r="D168" s="46"/>
      <c r="E168" s="43"/>
      <c r="F168" s="46"/>
      <c r="G168" s="43"/>
      <c r="H168" s="46"/>
      <c r="I168" s="43"/>
      <c r="J168" s="46"/>
      <c r="K168" s="43"/>
      <c r="L168" s="46"/>
      <c r="M168" s="39"/>
      <c r="N168" s="39"/>
    </row>
    <row r="169" spans="1:14" ht="14.25" thickTop="1" thickBot="1">
      <c r="A169" s="49"/>
      <c r="B169" s="116"/>
      <c r="C169" s="43"/>
      <c r="D169" s="46"/>
      <c r="E169" s="43"/>
      <c r="F169" s="46"/>
      <c r="G169" s="43"/>
      <c r="H169" s="46"/>
      <c r="I169" s="43"/>
      <c r="J169" s="46"/>
      <c r="K169" s="43"/>
      <c r="L169" s="46"/>
      <c r="M169" s="39"/>
      <c r="N169" s="39"/>
    </row>
    <row r="170" spans="1:14" s="40" customFormat="1" ht="14.25" thickTop="1" thickBot="1">
      <c r="A170" s="39"/>
      <c r="B170" s="115"/>
      <c r="C170" s="42"/>
      <c r="D170" s="45"/>
      <c r="E170" s="42"/>
      <c r="F170" s="45"/>
      <c r="G170" s="42"/>
      <c r="H170" s="45"/>
      <c r="I170" s="42"/>
      <c r="J170" s="45"/>
      <c r="K170" s="42"/>
      <c r="L170" s="45"/>
      <c r="M170" s="39"/>
      <c r="N170" s="39"/>
    </row>
    <row r="171" spans="1:14" ht="14.25" thickTop="1" thickBot="1">
      <c r="A171" s="49"/>
      <c r="B171" s="116"/>
      <c r="C171" s="43"/>
      <c r="D171" s="46"/>
      <c r="E171" s="43"/>
      <c r="F171" s="46"/>
      <c r="G171" s="43"/>
      <c r="H171" s="46"/>
      <c r="I171" s="43"/>
      <c r="J171" s="46"/>
      <c r="K171" s="43"/>
      <c r="L171" s="46"/>
      <c r="M171" s="39"/>
      <c r="N171" s="39"/>
    </row>
    <row r="172" spans="1:14" ht="14.25" thickTop="1" thickBot="1">
      <c r="A172" s="49"/>
      <c r="B172" s="116"/>
      <c r="C172" s="43"/>
      <c r="D172" s="46"/>
      <c r="E172" s="43"/>
      <c r="F172" s="46"/>
      <c r="G172" s="43"/>
      <c r="H172" s="46"/>
      <c r="I172" s="43"/>
      <c r="J172" s="46"/>
      <c r="K172" s="43"/>
      <c r="L172" s="46"/>
      <c r="M172" s="39"/>
      <c r="N172" s="39"/>
    </row>
    <row r="173" spans="1:14" ht="14.25" thickTop="1" thickBot="1">
      <c r="A173" s="49"/>
      <c r="B173" s="116"/>
      <c r="C173" s="43"/>
      <c r="D173" s="46"/>
      <c r="E173" s="43"/>
      <c r="F173" s="46"/>
      <c r="G173" s="43"/>
      <c r="H173" s="46"/>
      <c r="I173" s="43"/>
      <c r="J173" s="46"/>
      <c r="K173" s="43"/>
      <c r="L173" s="46"/>
      <c r="M173" s="39"/>
      <c r="N173" s="39"/>
    </row>
    <row r="174" spans="1:14" ht="14.25" thickTop="1" thickBot="1">
      <c r="A174" s="49"/>
      <c r="B174" s="116"/>
      <c r="C174" s="43"/>
      <c r="D174" s="46"/>
      <c r="E174" s="43"/>
      <c r="F174" s="46"/>
      <c r="G174" s="43"/>
      <c r="H174" s="46"/>
      <c r="I174" s="43"/>
      <c r="J174" s="46"/>
      <c r="K174" s="43"/>
      <c r="L174" s="46"/>
      <c r="M174" s="39"/>
      <c r="N174" s="39"/>
    </row>
    <row r="175" spans="1:14" ht="14.25" thickTop="1" thickBot="1">
      <c r="A175" s="49"/>
      <c r="B175" s="116"/>
      <c r="C175" s="43"/>
      <c r="D175" s="46"/>
      <c r="E175" s="43"/>
      <c r="F175" s="46"/>
      <c r="G175" s="43"/>
      <c r="H175" s="46"/>
      <c r="I175" s="43"/>
      <c r="J175" s="46"/>
      <c r="K175" s="43"/>
      <c r="L175" s="46"/>
      <c r="M175" s="39"/>
      <c r="N175" s="39"/>
    </row>
    <row r="176" spans="1:14" ht="14.25" thickTop="1" thickBot="1">
      <c r="A176" s="49"/>
      <c r="B176" s="116"/>
      <c r="C176" s="43"/>
      <c r="D176" s="46"/>
      <c r="E176" s="43"/>
      <c r="F176" s="46"/>
      <c r="G176" s="43"/>
      <c r="H176" s="46"/>
      <c r="I176" s="43"/>
      <c r="J176" s="46"/>
      <c r="K176" s="43"/>
      <c r="L176" s="46"/>
      <c r="M176" s="39"/>
      <c r="N176" s="39"/>
    </row>
    <row r="177" spans="1:14" s="40" customFormat="1" ht="14.25" thickTop="1" thickBot="1">
      <c r="A177" s="39"/>
      <c r="B177" s="115"/>
      <c r="C177" s="42"/>
      <c r="D177" s="45"/>
      <c r="E177" s="42"/>
      <c r="F177" s="45"/>
      <c r="G177" s="42"/>
      <c r="H177" s="45"/>
      <c r="I177" s="42"/>
      <c r="J177" s="45"/>
      <c r="K177" s="42"/>
      <c r="L177" s="45"/>
      <c r="M177" s="39"/>
      <c r="N177" s="39"/>
    </row>
    <row r="178" spans="1:14" ht="14.25" thickTop="1" thickBot="1">
      <c r="A178" s="49"/>
      <c r="B178" s="116"/>
      <c r="C178" s="43"/>
      <c r="D178" s="46"/>
      <c r="E178" s="43"/>
      <c r="F178" s="46"/>
      <c r="G178" s="43"/>
      <c r="H178" s="46"/>
      <c r="I178" s="43"/>
      <c r="J178" s="46"/>
      <c r="K178" s="43"/>
      <c r="L178" s="46"/>
      <c r="M178" s="39"/>
      <c r="N178" s="39"/>
    </row>
    <row r="179" spans="1:14" ht="14.25" thickTop="1" thickBot="1">
      <c r="A179" s="49"/>
      <c r="B179" s="116"/>
      <c r="C179" s="43"/>
      <c r="D179" s="46"/>
      <c r="E179" s="43"/>
      <c r="F179" s="46"/>
      <c r="G179" s="43"/>
      <c r="H179" s="46"/>
      <c r="I179" s="43"/>
      <c r="J179" s="46"/>
      <c r="K179" s="43"/>
      <c r="L179" s="46"/>
      <c r="M179" s="39"/>
      <c r="N179" s="39"/>
    </row>
    <row r="180" spans="1:14" ht="14.25" thickTop="1" thickBot="1">
      <c r="A180" s="49"/>
      <c r="B180" s="116"/>
      <c r="C180" s="43"/>
      <c r="D180" s="46"/>
      <c r="E180" s="43"/>
      <c r="F180" s="46"/>
      <c r="G180" s="43"/>
      <c r="H180" s="46"/>
      <c r="I180" s="43"/>
      <c r="J180" s="46"/>
      <c r="K180" s="43"/>
      <c r="L180" s="46"/>
      <c r="M180" s="39"/>
      <c r="N180" s="39"/>
    </row>
    <row r="181" spans="1:14" ht="14.25" thickTop="1" thickBot="1">
      <c r="A181" s="49"/>
      <c r="B181" s="116"/>
      <c r="C181" s="43"/>
      <c r="D181" s="46"/>
      <c r="E181" s="43"/>
      <c r="F181" s="46"/>
      <c r="G181" s="43"/>
      <c r="H181" s="46"/>
      <c r="I181" s="43"/>
      <c r="J181" s="46"/>
      <c r="K181" s="43"/>
      <c r="L181" s="46"/>
      <c r="M181" s="39"/>
      <c r="N181" s="39"/>
    </row>
    <row r="182" spans="1:14" ht="14.25" thickTop="1" thickBot="1">
      <c r="A182" s="49"/>
      <c r="B182" s="116"/>
      <c r="C182" s="43"/>
      <c r="D182" s="46"/>
      <c r="E182" s="43"/>
      <c r="F182" s="46"/>
      <c r="G182" s="43"/>
      <c r="H182" s="46"/>
      <c r="I182" s="43"/>
      <c r="J182" s="46"/>
      <c r="K182" s="43"/>
      <c r="L182" s="46"/>
      <c r="M182" s="39"/>
      <c r="N182" s="39"/>
    </row>
    <row r="183" spans="1:14" ht="14.25" thickTop="1" thickBot="1">
      <c r="A183" s="49"/>
      <c r="B183" s="116"/>
      <c r="C183" s="43"/>
      <c r="D183" s="46"/>
      <c r="E183" s="43"/>
      <c r="F183" s="46"/>
      <c r="G183" s="43"/>
      <c r="H183" s="46"/>
      <c r="I183" s="43"/>
      <c r="J183" s="46"/>
      <c r="K183" s="43"/>
      <c r="L183" s="46"/>
      <c r="M183" s="39"/>
      <c r="N183" s="39"/>
    </row>
    <row r="184" spans="1:14" s="40" customFormat="1" ht="14.25" thickTop="1" thickBot="1">
      <c r="A184" s="39"/>
      <c r="B184" s="115"/>
      <c r="C184" s="42"/>
      <c r="D184" s="45"/>
      <c r="E184" s="42"/>
      <c r="F184" s="45"/>
      <c r="G184" s="42"/>
      <c r="H184" s="45"/>
      <c r="I184" s="42"/>
      <c r="J184" s="45"/>
      <c r="K184" s="42"/>
      <c r="L184" s="45"/>
      <c r="M184" s="39"/>
      <c r="N184" s="39"/>
    </row>
    <row r="185" spans="1:14" ht="14.25" thickTop="1" thickBot="1">
      <c r="A185" s="49"/>
      <c r="B185" s="116"/>
      <c r="C185" s="43"/>
      <c r="D185" s="46"/>
      <c r="E185" s="43"/>
      <c r="F185" s="46"/>
      <c r="G185" s="43"/>
      <c r="H185" s="46"/>
      <c r="I185" s="43"/>
      <c r="J185" s="46"/>
      <c r="K185" s="43"/>
      <c r="L185" s="46"/>
      <c r="M185" s="39"/>
      <c r="N185" s="39"/>
    </row>
    <row r="186" spans="1:14" ht="14.25" thickTop="1" thickBot="1">
      <c r="A186" s="49"/>
      <c r="B186" s="116"/>
      <c r="C186" s="43"/>
      <c r="D186" s="46"/>
      <c r="E186" s="43"/>
      <c r="F186" s="46"/>
      <c r="G186" s="43"/>
      <c r="H186" s="46"/>
      <c r="I186" s="43"/>
      <c r="J186" s="46"/>
      <c r="K186" s="43"/>
      <c r="L186" s="46"/>
      <c r="M186" s="39"/>
      <c r="N186" s="39"/>
    </row>
    <row r="187" spans="1:14" ht="14.25" thickTop="1" thickBot="1">
      <c r="A187" s="49"/>
      <c r="B187" s="116"/>
      <c r="C187" s="43"/>
      <c r="D187" s="46"/>
      <c r="E187" s="43"/>
      <c r="F187" s="46"/>
      <c r="G187" s="43"/>
      <c r="H187" s="46"/>
      <c r="I187" s="43"/>
      <c r="J187" s="46"/>
      <c r="K187" s="43"/>
      <c r="L187" s="46"/>
      <c r="M187" s="39"/>
      <c r="N187" s="39"/>
    </row>
    <row r="188" spans="1:14" ht="14.25" thickTop="1" thickBot="1">
      <c r="A188" s="49"/>
      <c r="B188" s="116"/>
      <c r="C188" s="43"/>
      <c r="D188" s="46"/>
      <c r="E188" s="43"/>
      <c r="F188" s="46"/>
      <c r="G188" s="43"/>
      <c r="H188" s="46"/>
      <c r="I188" s="43"/>
      <c r="J188" s="46"/>
      <c r="K188" s="43"/>
      <c r="L188" s="46"/>
      <c r="M188" s="39"/>
      <c r="N188" s="39"/>
    </row>
    <row r="189" spans="1:14" ht="14.25" thickTop="1" thickBot="1">
      <c r="A189" s="49"/>
      <c r="B189" s="116"/>
      <c r="C189" s="43"/>
      <c r="D189" s="46"/>
      <c r="E189" s="43"/>
      <c r="F189" s="46"/>
      <c r="G189" s="43"/>
      <c r="H189" s="46"/>
      <c r="I189" s="43"/>
      <c r="J189" s="46"/>
      <c r="K189" s="43"/>
      <c r="L189" s="46"/>
      <c r="M189" s="39"/>
      <c r="N189" s="39"/>
    </row>
    <row r="190" spans="1:14" ht="14.25" thickTop="1" thickBot="1">
      <c r="A190" s="49"/>
      <c r="B190" s="116"/>
      <c r="C190" s="43"/>
      <c r="D190" s="46"/>
      <c r="E190" s="43"/>
      <c r="F190" s="46"/>
      <c r="G190" s="43"/>
      <c r="H190" s="46"/>
      <c r="I190" s="43"/>
      <c r="J190" s="46"/>
      <c r="K190" s="43"/>
      <c r="L190" s="46"/>
      <c r="M190" s="39"/>
      <c r="N190" s="39"/>
    </row>
    <row r="191" spans="1:14" s="40" customFormat="1" ht="14.25" thickTop="1" thickBot="1">
      <c r="A191" s="39"/>
      <c r="B191" s="115"/>
      <c r="C191" s="42"/>
      <c r="D191" s="45"/>
      <c r="E191" s="42"/>
      <c r="F191" s="45"/>
      <c r="G191" s="42"/>
      <c r="H191" s="45"/>
      <c r="I191" s="42"/>
      <c r="J191" s="45"/>
      <c r="K191" s="42"/>
      <c r="L191" s="45"/>
      <c r="M191" s="39"/>
      <c r="N191" s="39"/>
    </row>
    <row r="192" spans="1:14" ht="14.25" thickTop="1" thickBot="1">
      <c r="A192" s="49"/>
      <c r="B192" s="116"/>
      <c r="C192" s="43"/>
      <c r="D192" s="46"/>
      <c r="E192" s="43"/>
      <c r="F192" s="46"/>
      <c r="G192" s="43"/>
      <c r="H192" s="46"/>
      <c r="I192" s="43"/>
      <c r="J192" s="46"/>
      <c r="K192" s="43"/>
      <c r="L192" s="46"/>
      <c r="M192" s="39"/>
      <c r="N192" s="39"/>
    </row>
    <row r="193" spans="1:14" ht="14.25" thickTop="1" thickBot="1">
      <c r="A193" s="49"/>
      <c r="B193" s="116"/>
      <c r="C193" s="43"/>
      <c r="D193" s="46"/>
      <c r="E193" s="43"/>
      <c r="F193" s="46"/>
      <c r="G193" s="43"/>
      <c r="H193" s="46"/>
      <c r="I193" s="43"/>
      <c r="J193" s="46"/>
      <c r="K193" s="43"/>
      <c r="L193" s="46"/>
      <c r="M193" s="39"/>
      <c r="N193" s="39"/>
    </row>
    <row r="194" spans="1:14" ht="14.25" thickTop="1" thickBot="1">
      <c r="A194" s="49"/>
      <c r="B194" s="116"/>
      <c r="C194" s="43"/>
      <c r="D194" s="46"/>
      <c r="E194" s="43"/>
      <c r="F194" s="46"/>
      <c r="G194" s="43"/>
      <c r="H194" s="46"/>
      <c r="I194" s="43"/>
      <c r="J194" s="46"/>
      <c r="K194" s="43"/>
      <c r="L194" s="46"/>
      <c r="M194" s="39"/>
      <c r="N194" s="39"/>
    </row>
    <row r="195" spans="1:14" ht="14.25" thickTop="1" thickBot="1">
      <c r="A195" s="49"/>
      <c r="B195" s="116"/>
      <c r="C195" s="43"/>
      <c r="D195" s="46"/>
      <c r="E195" s="43"/>
      <c r="F195" s="46"/>
      <c r="G195" s="43"/>
      <c r="H195" s="46"/>
      <c r="I195" s="43"/>
      <c r="J195" s="46"/>
      <c r="K195" s="43"/>
      <c r="L195" s="46"/>
      <c r="M195" s="39"/>
      <c r="N195" s="39"/>
    </row>
    <row r="196" spans="1:14" ht="14.25" thickTop="1" thickBot="1">
      <c r="A196" s="49"/>
      <c r="B196" s="116"/>
      <c r="C196" s="43"/>
      <c r="D196" s="46"/>
      <c r="E196" s="43"/>
      <c r="F196" s="46"/>
      <c r="G196" s="43"/>
      <c r="H196" s="46"/>
      <c r="I196" s="43"/>
      <c r="J196" s="46"/>
      <c r="K196" s="43"/>
      <c r="L196" s="46"/>
      <c r="M196" s="39"/>
      <c r="N196" s="39"/>
    </row>
    <row r="197" spans="1:14" ht="14.25" thickTop="1" thickBot="1">
      <c r="A197" s="49"/>
      <c r="B197" s="116"/>
      <c r="C197" s="43"/>
      <c r="D197" s="46"/>
      <c r="E197" s="43"/>
      <c r="F197" s="46"/>
      <c r="G197" s="43"/>
      <c r="H197" s="46"/>
      <c r="I197" s="43"/>
      <c r="J197" s="46"/>
      <c r="K197" s="43"/>
      <c r="L197" s="46"/>
      <c r="M197" s="39"/>
      <c r="N197" s="39"/>
    </row>
    <row r="198" spans="1:14" s="40" customFormat="1" ht="14.25" thickTop="1" thickBot="1">
      <c r="A198" s="39"/>
      <c r="B198" s="115"/>
      <c r="C198" s="42"/>
      <c r="D198" s="45"/>
      <c r="E198" s="42"/>
      <c r="F198" s="45"/>
      <c r="G198" s="42"/>
      <c r="H198" s="45"/>
      <c r="I198" s="42"/>
      <c r="J198" s="45"/>
      <c r="K198" s="42"/>
      <c r="L198" s="45"/>
      <c r="M198" s="39"/>
      <c r="N198" s="39"/>
    </row>
    <row r="199" spans="1:14" ht="14.25" thickTop="1" thickBot="1">
      <c r="A199" s="49"/>
      <c r="B199" s="116"/>
      <c r="C199" s="43"/>
      <c r="D199" s="46"/>
      <c r="E199" s="43"/>
      <c r="F199" s="46"/>
      <c r="G199" s="43"/>
      <c r="H199" s="46"/>
      <c r="I199" s="43"/>
      <c r="J199" s="46"/>
      <c r="K199" s="43"/>
      <c r="L199" s="46"/>
      <c r="M199" s="39"/>
      <c r="N199" s="39"/>
    </row>
    <row r="200" spans="1:14" ht="14.25" thickTop="1" thickBot="1">
      <c r="A200" s="49"/>
      <c r="B200" s="116"/>
      <c r="C200" s="43"/>
      <c r="D200" s="46"/>
      <c r="E200" s="43"/>
      <c r="F200" s="46"/>
      <c r="G200" s="43"/>
      <c r="H200" s="46"/>
      <c r="I200" s="43"/>
      <c r="J200" s="46"/>
      <c r="K200" s="43"/>
      <c r="L200" s="46"/>
      <c r="M200" s="39"/>
      <c r="N200" s="39"/>
    </row>
    <row r="201" spans="1:14" ht="14.25" thickTop="1" thickBot="1">
      <c r="A201" s="49"/>
      <c r="B201" s="116"/>
      <c r="C201" s="43"/>
      <c r="D201" s="46"/>
      <c r="E201" s="43"/>
      <c r="F201" s="46"/>
      <c r="G201" s="43"/>
      <c r="H201" s="46"/>
      <c r="I201" s="43"/>
      <c r="J201" s="46"/>
      <c r="K201" s="43"/>
      <c r="L201" s="46"/>
      <c r="M201" s="39"/>
      <c r="N201" s="39"/>
    </row>
    <row r="202" spans="1:14" ht="14.25" thickTop="1" thickBot="1">
      <c r="A202" s="49"/>
      <c r="B202" s="116"/>
      <c r="C202" s="43"/>
      <c r="D202" s="46"/>
      <c r="E202" s="43"/>
      <c r="F202" s="46"/>
      <c r="G202" s="43"/>
      <c r="H202" s="46"/>
      <c r="I202" s="43"/>
      <c r="J202" s="46"/>
      <c r="K202" s="43"/>
      <c r="L202" s="46"/>
      <c r="M202" s="39"/>
      <c r="N202" s="39"/>
    </row>
    <row r="203" spans="1:14" ht="14.25" thickTop="1" thickBot="1">
      <c r="A203" s="49"/>
      <c r="B203" s="116"/>
      <c r="C203" s="43"/>
      <c r="D203" s="46"/>
      <c r="E203" s="43"/>
      <c r="F203" s="46"/>
      <c r="G203" s="43"/>
      <c r="H203" s="46"/>
      <c r="I203" s="43"/>
      <c r="J203" s="46"/>
      <c r="K203" s="43"/>
      <c r="L203" s="46"/>
      <c r="M203" s="39"/>
      <c r="N203" s="39"/>
    </row>
    <row r="204" spans="1:14" ht="14.25" thickTop="1" thickBot="1">
      <c r="A204" s="49"/>
      <c r="B204" s="116"/>
      <c r="C204" s="43"/>
      <c r="D204" s="46"/>
      <c r="E204" s="43"/>
      <c r="F204" s="46"/>
      <c r="G204" s="43"/>
      <c r="H204" s="46"/>
      <c r="I204" s="43"/>
      <c r="J204" s="46"/>
      <c r="K204" s="43"/>
      <c r="L204" s="46"/>
      <c r="M204" s="39"/>
      <c r="N204" s="39"/>
    </row>
    <row r="205" spans="1:14" s="40" customFormat="1" ht="14.25" thickTop="1" thickBot="1">
      <c r="A205" s="39"/>
      <c r="B205" s="115"/>
      <c r="C205" s="42"/>
      <c r="D205" s="45"/>
      <c r="E205" s="42"/>
      <c r="F205" s="45"/>
      <c r="G205" s="42"/>
      <c r="H205" s="45"/>
      <c r="I205" s="42"/>
      <c r="J205" s="45"/>
      <c r="K205" s="42"/>
      <c r="L205" s="45"/>
      <c r="M205" s="39"/>
      <c r="N205" s="39"/>
    </row>
    <row r="206" spans="1:14" ht="14.25" thickTop="1" thickBot="1">
      <c r="A206" s="49"/>
      <c r="B206" s="116"/>
      <c r="C206" s="43"/>
      <c r="D206" s="46"/>
      <c r="E206" s="43"/>
      <c r="F206" s="46"/>
      <c r="G206" s="43"/>
      <c r="H206" s="46"/>
      <c r="I206" s="43"/>
      <c r="J206" s="46"/>
      <c r="K206" s="43"/>
      <c r="L206" s="46"/>
      <c r="M206" s="39"/>
      <c r="N206" s="39"/>
    </row>
    <row r="207" spans="1:14" ht="14.25" thickTop="1" thickBot="1">
      <c r="A207" s="49"/>
      <c r="B207" s="116"/>
      <c r="C207" s="43"/>
      <c r="D207" s="46"/>
      <c r="E207" s="43"/>
      <c r="F207" s="46"/>
      <c r="G207" s="43"/>
      <c r="H207" s="46"/>
      <c r="I207" s="43"/>
      <c r="J207" s="46"/>
      <c r="K207" s="43"/>
      <c r="L207" s="46"/>
      <c r="M207" s="39"/>
      <c r="N207" s="39"/>
    </row>
    <row r="208" spans="1:14" ht="14.25" thickTop="1" thickBot="1">
      <c r="A208" s="49"/>
      <c r="B208" s="116"/>
      <c r="C208" s="43"/>
      <c r="D208" s="46"/>
      <c r="E208" s="43"/>
      <c r="F208" s="46"/>
      <c r="G208" s="43"/>
      <c r="H208" s="46"/>
      <c r="I208" s="43"/>
      <c r="J208" s="46"/>
      <c r="K208" s="43"/>
      <c r="L208" s="46"/>
      <c r="M208" s="39"/>
      <c r="N208" s="39"/>
    </row>
    <row r="209" spans="1:14" ht="14.25" thickTop="1" thickBot="1">
      <c r="A209" s="49"/>
      <c r="B209" s="116"/>
      <c r="C209" s="43"/>
      <c r="D209" s="46"/>
      <c r="E209" s="43"/>
      <c r="F209" s="46"/>
      <c r="G209" s="43"/>
      <c r="H209" s="46"/>
      <c r="I209" s="43"/>
      <c r="J209" s="46"/>
      <c r="K209" s="43"/>
      <c r="L209" s="46"/>
      <c r="M209" s="39"/>
      <c r="N209" s="39"/>
    </row>
    <row r="210" spans="1:14" ht="14.25" thickTop="1" thickBot="1">
      <c r="A210" s="49"/>
      <c r="B210" s="116"/>
      <c r="C210" s="43"/>
      <c r="D210" s="46"/>
      <c r="E210" s="43"/>
      <c r="F210" s="46"/>
      <c r="G210" s="43"/>
      <c r="H210" s="46"/>
      <c r="I210" s="43"/>
      <c r="J210" s="46"/>
      <c r="K210" s="43"/>
      <c r="L210" s="46"/>
      <c r="M210" s="39"/>
      <c r="N210" s="39"/>
    </row>
    <row r="211" spans="1:14" ht="14.25" thickTop="1" thickBot="1">
      <c r="A211" s="49"/>
      <c r="B211" s="116"/>
      <c r="C211" s="43"/>
      <c r="D211" s="46"/>
      <c r="E211" s="43"/>
      <c r="F211" s="46"/>
      <c r="G211" s="43"/>
      <c r="H211" s="46"/>
      <c r="I211" s="43"/>
      <c r="J211" s="46"/>
      <c r="K211" s="43"/>
      <c r="L211" s="46"/>
      <c r="M211" s="39"/>
      <c r="N211" s="39"/>
    </row>
    <row r="212" spans="1:14" s="40" customFormat="1" ht="14.25" thickTop="1" thickBot="1">
      <c r="A212" s="39"/>
      <c r="B212" s="115"/>
      <c r="C212" s="42"/>
      <c r="D212" s="45"/>
      <c r="E212" s="42"/>
      <c r="F212" s="45"/>
      <c r="G212" s="42"/>
      <c r="H212" s="45"/>
      <c r="I212" s="42"/>
      <c r="J212" s="45"/>
      <c r="K212" s="42"/>
      <c r="L212" s="45"/>
      <c r="M212" s="39"/>
      <c r="N212" s="39"/>
    </row>
    <row r="213" spans="1:14" ht="14.25" thickTop="1" thickBot="1">
      <c r="A213" s="49"/>
      <c r="B213" s="116"/>
      <c r="C213" s="43"/>
      <c r="D213" s="46"/>
      <c r="E213" s="43"/>
      <c r="F213" s="46"/>
      <c r="G213" s="43"/>
      <c r="H213" s="46"/>
      <c r="I213" s="43"/>
      <c r="J213" s="46"/>
      <c r="K213" s="43"/>
      <c r="L213" s="46"/>
      <c r="M213" s="39"/>
      <c r="N213" s="39"/>
    </row>
    <row r="214" spans="1:14" ht="14.25" thickTop="1" thickBot="1">
      <c r="A214" s="49"/>
      <c r="B214" s="116"/>
      <c r="C214" s="43"/>
      <c r="D214" s="46"/>
      <c r="E214" s="43"/>
      <c r="F214" s="46"/>
      <c r="G214" s="43"/>
      <c r="H214" s="46"/>
      <c r="I214" s="43"/>
      <c r="J214" s="46"/>
      <c r="K214" s="43"/>
      <c r="L214" s="46"/>
      <c r="M214" s="39"/>
      <c r="N214" s="39"/>
    </row>
    <row r="215" spans="1:14" ht="14.25" thickTop="1" thickBot="1">
      <c r="A215" s="49"/>
      <c r="B215" s="116"/>
      <c r="C215" s="43"/>
      <c r="D215" s="46"/>
      <c r="E215" s="43"/>
      <c r="F215" s="46"/>
      <c r="G215" s="43"/>
      <c r="H215" s="46"/>
      <c r="I215" s="43"/>
      <c r="J215" s="46"/>
      <c r="K215" s="43"/>
      <c r="L215" s="46"/>
      <c r="M215" s="39"/>
      <c r="N215" s="39"/>
    </row>
    <row r="216" spans="1:14" ht="14.25" thickTop="1" thickBot="1">
      <c r="A216" s="49"/>
      <c r="B216" s="116"/>
      <c r="C216" s="43"/>
      <c r="D216" s="46"/>
      <c r="E216" s="43"/>
      <c r="F216" s="46"/>
      <c r="G216" s="43"/>
      <c r="H216" s="46"/>
      <c r="I216" s="43"/>
      <c r="J216" s="46"/>
      <c r="K216" s="43"/>
      <c r="L216" s="46"/>
      <c r="M216" s="39"/>
      <c r="N216" s="39"/>
    </row>
    <row r="217" spans="1:14" ht="14.25" thickTop="1" thickBot="1">
      <c r="A217" s="49"/>
      <c r="B217" s="116"/>
      <c r="C217" s="43"/>
      <c r="D217" s="46"/>
      <c r="E217" s="43"/>
      <c r="F217" s="46"/>
      <c r="G217" s="43"/>
      <c r="H217" s="46"/>
      <c r="I217" s="43"/>
      <c r="J217" s="46"/>
      <c r="K217" s="43"/>
      <c r="L217" s="46"/>
      <c r="M217" s="39"/>
      <c r="N217" s="39"/>
    </row>
    <row r="218" spans="1:14" ht="14.25" thickTop="1" thickBot="1">
      <c r="A218" s="49"/>
      <c r="B218" s="116"/>
      <c r="C218" s="43"/>
      <c r="D218" s="46"/>
      <c r="E218" s="43"/>
      <c r="F218" s="46"/>
      <c r="G218" s="43"/>
      <c r="H218" s="46"/>
      <c r="I218" s="43"/>
      <c r="J218" s="46"/>
      <c r="K218" s="43"/>
      <c r="L218" s="46"/>
      <c r="M218" s="39"/>
      <c r="N218" s="39"/>
    </row>
    <row r="219" spans="1:14" s="40" customFormat="1" ht="14.25" thickTop="1" thickBot="1">
      <c r="A219" s="39"/>
      <c r="B219" s="115"/>
      <c r="C219" s="42"/>
      <c r="D219" s="45"/>
      <c r="E219" s="42"/>
      <c r="F219" s="45"/>
      <c r="G219" s="42"/>
      <c r="H219" s="45"/>
      <c r="I219" s="42"/>
      <c r="J219" s="45"/>
      <c r="K219" s="42"/>
      <c r="L219" s="45"/>
      <c r="M219" s="39"/>
      <c r="N219" s="39"/>
    </row>
    <row r="220" spans="1:14" ht="14.25" thickTop="1" thickBot="1">
      <c r="A220" s="49"/>
      <c r="B220" s="116"/>
      <c r="C220" s="43"/>
      <c r="D220" s="46"/>
      <c r="E220" s="43"/>
      <c r="F220" s="46"/>
      <c r="G220" s="43"/>
      <c r="H220" s="46"/>
      <c r="I220" s="43"/>
      <c r="J220" s="46"/>
      <c r="K220" s="43"/>
      <c r="L220" s="46"/>
      <c r="M220" s="39"/>
      <c r="N220" s="39"/>
    </row>
    <row r="221" spans="1:14" ht="14.25" thickTop="1" thickBot="1">
      <c r="A221" s="49"/>
      <c r="B221" s="116"/>
      <c r="C221" s="43"/>
      <c r="D221" s="46"/>
      <c r="E221" s="43"/>
      <c r="F221" s="46"/>
      <c r="G221" s="43"/>
      <c r="H221" s="46"/>
      <c r="I221" s="43"/>
      <c r="J221" s="46"/>
      <c r="K221" s="43"/>
      <c r="L221" s="46"/>
      <c r="M221" s="39"/>
      <c r="N221" s="39"/>
    </row>
    <row r="222" spans="1:14" ht="14.25" thickTop="1" thickBot="1">
      <c r="A222" s="49"/>
      <c r="B222" s="116"/>
      <c r="C222" s="43"/>
      <c r="D222" s="46"/>
      <c r="E222" s="43"/>
      <c r="F222" s="46"/>
      <c r="G222" s="43"/>
      <c r="H222" s="46"/>
      <c r="I222" s="43"/>
      <c r="J222" s="46"/>
      <c r="K222" s="43"/>
      <c r="L222" s="46"/>
      <c r="M222" s="39"/>
      <c r="N222" s="39"/>
    </row>
    <row r="223" spans="1:14" ht="14.25" thickTop="1" thickBot="1">
      <c r="A223" s="49"/>
      <c r="B223" s="116"/>
      <c r="C223" s="43"/>
      <c r="D223" s="46"/>
      <c r="E223" s="43"/>
      <c r="F223" s="46"/>
      <c r="G223" s="43"/>
      <c r="H223" s="46"/>
      <c r="I223" s="43"/>
      <c r="J223" s="46"/>
      <c r="K223" s="43"/>
      <c r="L223" s="46"/>
      <c r="M223" s="39"/>
      <c r="N223" s="39"/>
    </row>
    <row r="224" spans="1:14" ht="14.25" thickTop="1" thickBot="1">
      <c r="A224" s="49"/>
      <c r="B224" s="116"/>
      <c r="C224" s="43"/>
      <c r="D224" s="46"/>
      <c r="E224" s="43"/>
      <c r="F224" s="46"/>
      <c r="G224" s="43"/>
      <c r="H224" s="46"/>
      <c r="I224" s="43"/>
      <c r="J224" s="46"/>
      <c r="K224" s="43"/>
      <c r="L224" s="46"/>
      <c r="M224" s="39"/>
      <c r="N224" s="39"/>
    </row>
    <row r="225" spans="1:14" ht="14.25" thickTop="1" thickBot="1">
      <c r="A225" s="49"/>
      <c r="B225" s="116"/>
      <c r="C225" s="43"/>
      <c r="D225" s="46"/>
      <c r="E225" s="43"/>
      <c r="F225" s="46"/>
      <c r="G225" s="43"/>
      <c r="H225" s="46"/>
      <c r="I225" s="43"/>
      <c r="J225" s="46"/>
      <c r="K225" s="43"/>
      <c r="L225" s="46"/>
      <c r="M225" s="39"/>
      <c r="N225" s="39"/>
    </row>
    <row r="226" spans="1:14" s="40" customFormat="1" ht="14.25" thickTop="1" thickBot="1">
      <c r="A226" s="39"/>
      <c r="B226" s="115"/>
      <c r="C226" s="42"/>
      <c r="D226" s="45"/>
      <c r="E226" s="42"/>
      <c r="F226" s="45"/>
      <c r="G226" s="42"/>
      <c r="H226" s="45"/>
      <c r="I226" s="42"/>
      <c r="J226" s="45"/>
      <c r="K226" s="42"/>
      <c r="L226" s="45"/>
      <c r="M226" s="39"/>
      <c r="N226" s="39"/>
    </row>
    <row r="227" spans="1:14" ht="14.25" thickTop="1" thickBot="1">
      <c r="A227" s="49"/>
      <c r="B227" s="116"/>
      <c r="C227" s="43"/>
      <c r="D227" s="46"/>
      <c r="E227" s="43"/>
      <c r="F227" s="46"/>
      <c r="G227" s="43"/>
      <c r="H227" s="46"/>
      <c r="I227" s="43"/>
      <c r="J227" s="46"/>
      <c r="K227" s="43"/>
      <c r="L227" s="46"/>
      <c r="M227" s="39"/>
      <c r="N227" s="39"/>
    </row>
    <row r="228" spans="1:14" ht="14.25" thickTop="1" thickBot="1">
      <c r="A228" s="49"/>
      <c r="B228" s="116"/>
      <c r="C228" s="43"/>
      <c r="D228" s="46"/>
      <c r="E228" s="43"/>
      <c r="F228" s="46"/>
      <c r="G228" s="43"/>
      <c r="H228" s="46"/>
      <c r="I228" s="43"/>
      <c r="J228" s="46"/>
      <c r="K228" s="43"/>
      <c r="L228" s="46"/>
      <c r="M228" s="39"/>
      <c r="N228" s="39"/>
    </row>
    <row r="229" spans="1:14" ht="14.25" thickTop="1" thickBot="1">
      <c r="A229" s="49"/>
      <c r="B229" s="116"/>
      <c r="C229" s="43"/>
      <c r="D229" s="46"/>
      <c r="E229" s="43"/>
      <c r="F229" s="46"/>
      <c r="G229" s="43"/>
      <c r="H229" s="46"/>
      <c r="I229" s="43"/>
      <c r="J229" s="46"/>
      <c r="K229" s="43"/>
      <c r="L229" s="46"/>
      <c r="M229" s="39"/>
      <c r="N229" s="39"/>
    </row>
    <row r="230" spans="1:14" ht="14.25" thickTop="1" thickBot="1">
      <c r="A230" s="49"/>
      <c r="B230" s="116"/>
      <c r="C230" s="43"/>
      <c r="D230" s="46"/>
      <c r="E230" s="43"/>
      <c r="F230" s="46"/>
      <c r="G230" s="43"/>
      <c r="H230" s="46"/>
      <c r="I230" s="43"/>
      <c r="J230" s="46"/>
      <c r="K230" s="43"/>
      <c r="L230" s="46"/>
      <c r="M230" s="39"/>
      <c r="N230" s="39"/>
    </row>
    <row r="231" spans="1:14" ht="14.25" thickTop="1" thickBot="1">
      <c r="A231" s="49"/>
      <c r="B231" s="116"/>
      <c r="C231" s="43"/>
      <c r="D231" s="46"/>
      <c r="E231" s="43"/>
      <c r="F231" s="46"/>
      <c r="G231" s="43"/>
      <c r="H231" s="46"/>
      <c r="I231" s="43"/>
      <c r="J231" s="46"/>
      <c r="K231" s="43"/>
      <c r="L231" s="46"/>
      <c r="M231" s="39"/>
      <c r="N231" s="39"/>
    </row>
    <row r="232" spans="1:14" ht="14.25" thickTop="1" thickBot="1">
      <c r="A232" s="49"/>
      <c r="B232" s="116"/>
      <c r="C232" s="43"/>
      <c r="D232" s="46"/>
      <c r="E232" s="43"/>
      <c r="F232" s="46"/>
      <c r="G232" s="43"/>
      <c r="H232" s="46"/>
      <c r="I232" s="43"/>
      <c r="J232" s="46"/>
      <c r="K232" s="43"/>
      <c r="L232" s="46"/>
      <c r="M232" s="39"/>
      <c r="N232" s="39"/>
    </row>
    <row r="233" spans="1:14" s="40" customFormat="1" ht="14.25" thickTop="1" thickBot="1">
      <c r="A233" s="39"/>
      <c r="B233" s="115"/>
      <c r="C233" s="42"/>
      <c r="D233" s="45"/>
      <c r="E233" s="42"/>
      <c r="F233" s="45"/>
      <c r="G233" s="42"/>
      <c r="H233" s="45"/>
      <c r="I233" s="42"/>
      <c r="J233" s="45"/>
      <c r="K233" s="42"/>
      <c r="L233" s="45"/>
      <c r="M233" s="39"/>
      <c r="N233" s="39"/>
    </row>
    <row r="234" spans="1:14" ht="14.25" thickTop="1" thickBot="1">
      <c r="A234" s="49"/>
      <c r="B234" s="116"/>
      <c r="C234" s="43"/>
      <c r="D234" s="46"/>
      <c r="E234" s="43"/>
      <c r="F234" s="46"/>
      <c r="G234" s="43"/>
      <c r="H234" s="46"/>
      <c r="I234" s="43"/>
      <c r="J234" s="46"/>
      <c r="K234" s="43"/>
      <c r="L234" s="46"/>
      <c r="M234" s="39"/>
      <c r="N234" s="39"/>
    </row>
    <row r="235" spans="1:14" ht="14.25" thickTop="1" thickBot="1">
      <c r="A235" s="49"/>
      <c r="B235" s="116"/>
      <c r="C235" s="43"/>
      <c r="D235" s="46"/>
      <c r="E235" s="43"/>
      <c r="F235" s="46"/>
      <c r="G235" s="43"/>
      <c r="H235" s="46"/>
      <c r="I235" s="43"/>
      <c r="J235" s="46"/>
      <c r="K235" s="43"/>
      <c r="L235" s="46"/>
      <c r="M235" s="39"/>
      <c r="N235" s="39"/>
    </row>
    <row r="236" spans="1:14" ht="14.25" thickTop="1" thickBot="1">
      <c r="A236" s="49"/>
      <c r="B236" s="116"/>
      <c r="C236" s="43"/>
      <c r="D236" s="46"/>
      <c r="E236" s="43"/>
      <c r="F236" s="46"/>
      <c r="G236" s="43"/>
      <c r="H236" s="46"/>
      <c r="I236" s="43"/>
      <c r="J236" s="46"/>
      <c r="K236" s="43"/>
      <c r="L236" s="46"/>
      <c r="M236" s="39"/>
      <c r="N236" s="39"/>
    </row>
    <row r="237" spans="1:14" ht="14.25" thickTop="1" thickBot="1">
      <c r="A237" s="49"/>
      <c r="B237" s="116"/>
      <c r="C237" s="43"/>
      <c r="D237" s="46"/>
      <c r="E237" s="43"/>
      <c r="F237" s="46"/>
      <c r="G237" s="43"/>
      <c r="H237" s="46"/>
      <c r="I237" s="43"/>
      <c r="J237" s="46"/>
      <c r="K237" s="43"/>
      <c r="L237" s="46"/>
      <c r="M237" s="39"/>
      <c r="N237" s="39"/>
    </row>
    <row r="238" spans="1:14" ht="14.25" thickTop="1" thickBot="1">
      <c r="A238" s="49"/>
      <c r="B238" s="116"/>
      <c r="C238" s="43"/>
      <c r="D238" s="46"/>
      <c r="E238" s="43"/>
      <c r="F238" s="46"/>
      <c r="G238" s="43"/>
      <c r="H238" s="46"/>
      <c r="I238" s="43"/>
      <c r="J238" s="46"/>
      <c r="K238" s="43"/>
      <c r="L238" s="46"/>
      <c r="M238" s="39"/>
      <c r="N238" s="39"/>
    </row>
    <row r="239" spans="1:14" ht="14.25" thickTop="1" thickBot="1">
      <c r="A239" s="49"/>
      <c r="B239" s="116"/>
      <c r="C239" s="43"/>
      <c r="D239" s="46"/>
      <c r="E239" s="43"/>
      <c r="F239" s="46"/>
      <c r="G239" s="43"/>
      <c r="H239" s="46"/>
      <c r="I239" s="43"/>
      <c r="J239" s="46"/>
      <c r="K239" s="43"/>
      <c r="L239" s="46"/>
      <c r="M239" s="39"/>
      <c r="N239" s="39"/>
    </row>
    <row r="240" spans="1:14" s="40" customFormat="1" ht="14.25" thickTop="1" thickBot="1">
      <c r="A240" s="39"/>
      <c r="B240" s="115"/>
      <c r="C240" s="42"/>
      <c r="D240" s="45"/>
      <c r="E240" s="42"/>
      <c r="F240" s="45"/>
      <c r="G240" s="42"/>
      <c r="H240" s="45"/>
      <c r="I240" s="42"/>
      <c r="J240" s="45"/>
      <c r="K240" s="42"/>
      <c r="L240" s="45"/>
      <c r="M240" s="39"/>
      <c r="N240" s="39"/>
    </row>
    <row r="241" spans="1:14" ht="14.25" thickTop="1" thickBot="1">
      <c r="A241" s="49"/>
      <c r="B241" s="116"/>
      <c r="C241" s="43"/>
      <c r="D241" s="46"/>
      <c r="E241" s="43"/>
      <c r="F241" s="46"/>
      <c r="G241" s="43"/>
      <c r="H241" s="46"/>
      <c r="I241" s="43"/>
      <c r="J241" s="46"/>
      <c r="K241" s="43"/>
      <c r="L241" s="46"/>
      <c r="M241" s="39"/>
      <c r="N241" s="39"/>
    </row>
    <row r="242" spans="1:14" ht="14.25" thickTop="1" thickBot="1">
      <c r="A242" s="49"/>
      <c r="B242" s="116"/>
      <c r="C242" s="43"/>
      <c r="D242" s="46"/>
      <c r="E242" s="43"/>
      <c r="F242" s="46"/>
      <c r="G242" s="43"/>
      <c r="H242" s="46"/>
      <c r="I242" s="43"/>
      <c r="J242" s="46"/>
      <c r="K242" s="43"/>
      <c r="L242" s="46"/>
      <c r="M242" s="39"/>
      <c r="N242" s="39"/>
    </row>
    <row r="243" spans="1:14" ht="14.25" thickTop="1" thickBot="1">
      <c r="A243" s="49"/>
      <c r="B243" s="116"/>
      <c r="C243" s="43"/>
      <c r="D243" s="46"/>
      <c r="E243" s="43"/>
      <c r="F243" s="46"/>
      <c r="G243" s="43"/>
      <c r="H243" s="46"/>
      <c r="I243" s="43"/>
      <c r="J243" s="46"/>
      <c r="K243" s="43"/>
      <c r="L243" s="46"/>
      <c r="M243" s="39"/>
      <c r="N243" s="39"/>
    </row>
    <row r="244" spans="1:14" ht="14.25" thickTop="1" thickBot="1">
      <c r="A244" s="49"/>
      <c r="B244" s="116"/>
      <c r="C244" s="43"/>
      <c r="D244" s="46"/>
      <c r="E244" s="43"/>
      <c r="F244" s="46"/>
      <c r="G244" s="43"/>
      <c r="H244" s="46"/>
      <c r="I244" s="43"/>
      <c r="J244" s="46"/>
      <c r="K244" s="43"/>
      <c r="L244" s="46"/>
      <c r="M244" s="39"/>
      <c r="N244" s="39"/>
    </row>
    <row r="245" spans="1:14" ht="14.25" thickTop="1" thickBot="1">
      <c r="A245" s="49"/>
      <c r="B245" s="116"/>
      <c r="C245" s="43"/>
      <c r="D245" s="46"/>
      <c r="E245" s="43"/>
      <c r="F245" s="46"/>
      <c r="G245" s="43"/>
      <c r="H245" s="46"/>
      <c r="I245" s="43"/>
      <c r="J245" s="46"/>
      <c r="K245" s="43"/>
      <c r="L245" s="46"/>
      <c r="M245" s="39"/>
      <c r="N245" s="39"/>
    </row>
    <row r="246" spans="1:14" ht="14.25" thickTop="1" thickBot="1">
      <c r="A246" s="49"/>
      <c r="B246" s="116"/>
      <c r="C246" s="43"/>
      <c r="D246" s="46"/>
      <c r="E246" s="43"/>
      <c r="F246" s="46"/>
      <c r="G246" s="43"/>
      <c r="H246" s="46"/>
      <c r="I246" s="43"/>
      <c r="J246" s="46"/>
      <c r="K246" s="43"/>
      <c r="L246" s="46"/>
      <c r="M246" s="39"/>
      <c r="N246" s="39"/>
    </row>
    <row r="247" spans="1:14" s="40" customFormat="1" ht="14.25" thickTop="1" thickBot="1">
      <c r="A247" s="39"/>
      <c r="B247" s="115"/>
      <c r="C247" s="42"/>
      <c r="D247" s="45"/>
      <c r="E247" s="42"/>
      <c r="F247" s="45"/>
      <c r="G247" s="42"/>
      <c r="H247" s="45"/>
      <c r="I247" s="42"/>
      <c r="J247" s="45"/>
      <c r="K247" s="42"/>
      <c r="L247" s="45"/>
      <c r="M247" s="39"/>
      <c r="N247" s="39"/>
    </row>
    <row r="248" spans="1:14" ht="14.25" thickTop="1" thickBot="1">
      <c r="A248" s="49"/>
      <c r="B248" s="116"/>
      <c r="C248" s="43"/>
      <c r="D248" s="46"/>
      <c r="E248" s="43"/>
      <c r="F248" s="46"/>
      <c r="G248" s="43"/>
      <c r="H248" s="46"/>
      <c r="I248" s="43"/>
      <c r="J248" s="46"/>
      <c r="K248" s="43"/>
      <c r="L248" s="46"/>
      <c r="M248" s="39"/>
      <c r="N248" s="39"/>
    </row>
    <row r="249" spans="1:14" ht="14.25" thickTop="1" thickBot="1">
      <c r="A249" s="49"/>
      <c r="B249" s="116"/>
      <c r="C249" s="43"/>
      <c r="D249" s="46"/>
      <c r="E249" s="43"/>
      <c r="F249" s="46"/>
      <c r="G249" s="43"/>
      <c r="H249" s="46"/>
      <c r="I249" s="43"/>
      <c r="J249" s="46"/>
      <c r="K249" s="43"/>
      <c r="L249" s="46"/>
      <c r="M249" s="39"/>
      <c r="N249" s="39"/>
    </row>
    <row r="250" spans="1:14" ht="14.25" thickTop="1" thickBot="1">
      <c r="A250" s="49"/>
      <c r="B250" s="116"/>
      <c r="C250" s="43"/>
      <c r="D250" s="46"/>
      <c r="E250" s="43"/>
      <c r="F250" s="46"/>
      <c r="G250" s="43"/>
      <c r="H250" s="46"/>
      <c r="I250" s="43"/>
      <c r="J250" s="46"/>
      <c r="K250" s="43"/>
      <c r="L250" s="46"/>
      <c r="M250" s="39"/>
      <c r="N250" s="39"/>
    </row>
    <row r="251" spans="1:14" ht="14.25" thickTop="1" thickBot="1">
      <c r="A251" s="49"/>
      <c r="B251" s="116"/>
      <c r="C251" s="43"/>
      <c r="D251" s="46"/>
      <c r="E251" s="43"/>
      <c r="F251" s="46"/>
      <c r="G251" s="43"/>
      <c r="H251" s="46"/>
      <c r="I251" s="43"/>
      <c r="J251" s="46"/>
      <c r="K251" s="43"/>
      <c r="L251" s="46"/>
      <c r="M251" s="39"/>
      <c r="N251" s="39"/>
    </row>
    <row r="252" spans="1:14" ht="14.25" thickTop="1" thickBot="1">
      <c r="A252" s="49"/>
      <c r="B252" s="116"/>
      <c r="C252" s="43"/>
      <c r="D252" s="46"/>
      <c r="E252" s="43"/>
      <c r="F252" s="46"/>
      <c r="G252" s="43"/>
      <c r="H252" s="46"/>
      <c r="I252" s="43"/>
      <c r="J252" s="46"/>
      <c r="K252" s="43"/>
      <c r="L252" s="46"/>
      <c r="M252" s="39"/>
      <c r="N252" s="39"/>
    </row>
    <row r="253" spans="1:14" ht="14.25" thickTop="1" thickBot="1">
      <c r="A253" s="49"/>
      <c r="B253" s="116"/>
      <c r="C253" s="43"/>
      <c r="D253" s="46"/>
      <c r="E253" s="43"/>
      <c r="F253" s="46"/>
      <c r="G253" s="43"/>
      <c r="H253" s="46"/>
      <c r="I253" s="43"/>
      <c r="J253" s="46"/>
      <c r="K253" s="43"/>
      <c r="L253" s="46"/>
      <c r="M253" s="39"/>
      <c r="N253" s="39"/>
    </row>
    <row r="254" spans="1:14" s="40" customFormat="1" ht="14.25" thickTop="1" thickBot="1">
      <c r="A254" s="39"/>
      <c r="B254" s="115"/>
      <c r="C254" s="42"/>
      <c r="D254" s="45"/>
      <c r="E254" s="42"/>
      <c r="F254" s="45"/>
      <c r="G254" s="42"/>
      <c r="H254" s="45"/>
      <c r="I254" s="42"/>
      <c r="J254" s="45"/>
      <c r="K254" s="42"/>
      <c r="L254" s="45"/>
      <c r="M254" s="39"/>
      <c r="N254" s="39"/>
    </row>
    <row r="255" spans="1:14" ht="14.25" thickTop="1" thickBot="1">
      <c r="A255" s="49"/>
      <c r="B255" s="116"/>
      <c r="C255" s="43"/>
      <c r="D255" s="46"/>
      <c r="E255" s="43"/>
      <c r="F255" s="46"/>
      <c r="G255" s="43"/>
      <c r="H255" s="46"/>
      <c r="I255" s="43"/>
      <c r="J255" s="46"/>
      <c r="K255" s="43"/>
      <c r="L255" s="46"/>
      <c r="M255" s="39"/>
      <c r="N255" s="39"/>
    </row>
    <row r="256" spans="1:14" ht="14.25" thickTop="1" thickBot="1">
      <c r="A256" s="49"/>
      <c r="B256" s="116"/>
      <c r="C256" s="43"/>
      <c r="D256" s="46"/>
      <c r="E256" s="43"/>
      <c r="F256" s="46"/>
      <c r="G256" s="43"/>
      <c r="H256" s="46"/>
      <c r="I256" s="43"/>
      <c r="J256" s="46"/>
      <c r="K256" s="43"/>
      <c r="L256" s="46"/>
      <c r="M256" s="39"/>
      <c r="N256" s="39"/>
    </row>
    <row r="257" spans="1:14" ht="14.25" thickTop="1" thickBot="1">
      <c r="A257" s="49"/>
      <c r="B257" s="116"/>
      <c r="C257" s="43"/>
      <c r="D257" s="46"/>
      <c r="E257" s="43"/>
      <c r="F257" s="46"/>
      <c r="G257" s="43"/>
      <c r="H257" s="46"/>
      <c r="I257" s="43"/>
      <c r="J257" s="46"/>
      <c r="K257" s="43"/>
      <c r="L257" s="46"/>
      <c r="M257" s="39"/>
      <c r="N257" s="39"/>
    </row>
    <row r="258" spans="1:14" ht="14.25" thickTop="1" thickBot="1">
      <c r="A258" s="49"/>
      <c r="B258" s="116"/>
      <c r="C258" s="43"/>
      <c r="D258" s="46"/>
      <c r="E258" s="43"/>
      <c r="F258" s="46"/>
      <c r="G258" s="43"/>
      <c r="H258" s="46"/>
      <c r="I258" s="43"/>
      <c r="J258" s="46"/>
      <c r="K258" s="43"/>
      <c r="L258" s="46"/>
      <c r="M258" s="39"/>
      <c r="N258" s="39"/>
    </row>
    <row r="259" spans="1:14" ht="14.25" thickTop="1" thickBot="1">
      <c r="A259" s="49"/>
      <c r="B259" s="116"/>
      <c r="C259" s="43"/>
      <c r="D259" s="46"/>
      <c r="E259" s="43"/>
      <c r="F259" s="46"/>
      <c r="G259" s="43"/>
      <c r="H259" s="46"/>
      <c r="I259" s="43"/>
      <c r="J259" s="46"/>
      <c r="K259" s="43"/>
      <c r="L259" s="46"/>
      <c r="M259" s="39"/>
      <c r="N259" s="39"/>
    </row>
    <row r="260" spans="1:14" ht="14.25" thickTop="1" thickBot="1">
      <c r="A260" s="49"/>
      <c r="B260" s="116"/>
      <c r="C260" s="43"/>
      <c r="D260" s="46"/>
      <c r="E260" s="43"/>
      <c r="F260" s="46"/>
      <c r="G260" s="43"/>
      <c r="H260" s="46"/>
      <c r="I260" s="43"/>
      <c r="J260" s="46"/>
      <c r="K260" s="43"/>
      <c r="L260" s="46"/>
      <c r="M260" s="39"/>
      <c r="N260" s="39"/>
    </row>
    <row r="261" spans="1:14" s="40" customFormat="1" ht="14.25" thickTop="1" thickBot="1">
      <c r="A261" s="39"/>
      <c r="B261" s="115"/>
      <c r="C261" s="42"/>
      <c r="D261" s="45"/>
      <c r="E261" s="42"/>
      <c r="F261" s="45"/>
      <c r="G261" s="42"/>
      <c r="H261" s="45"/>
      <c r="I261" s="42"/>
      <c r="J261" s="45"/>
      <c r="K261" s="42"/>
      <c r="L261" s="45"/>
      <c r="M261" s="39"/>
      <c r="N261" s="39"/>
    </row>
    <row r="262" spans="1:14" ht="14.25" thickTop="1" thickBot="1">
      <c r="A262" s="49"/>
      <c r="B262" s="116"/>
      <c r="C262" s="43"/>
      <c r="D262" s="46"/>
      <c r="E262" s="43"/>
      <c r="F262" s="46"/>
      <c r="G262" s="43"/>
      <c r="H262" s="46"/>
      <c r="I262" s="43"/>
      <c r="J262" s="46"/>
      <c r="K262" s="43"/>
      <c r="L262" s="46"/>
      <c r="M262" s="39"/>
      <c r="N262" s="39"/>
    </row>
    <row r="263" spans="1:14" ht="14.25" thickTop="1" thickBot="1">
      <c r="A263" s="49"/>
      <c r="B263" s="116"/>
      <c r="C263" s="43"/>
      <c r="D263" s="46"/>
      <c r="E263" s="43"/>
      <c r="F263" s="46"/>
      <c r="G263" s="43"/>
      <c r="H263" s="46"/>
      <c r="I263" s="43"/>
      <c r="J263" s="46"/>
      <c r="K263" s="43"/>
      <c r="L263" s="46"/>
      <c r="M263" s="39"/>
      <c r="N263" s="39"/>
    </row>
    <row r="264" spans="1:14" ht="14.25" thickTop="1" thickBot="1">
      <c r="A264" s="49"/>
      <c r="B264" s="116"/>
      <c r="C264" s="43"/>
      <c r="D264" s="46"/>
      <c r="E264" s="43"/>
      <c r="F264" s="46"/>
      <c r="G264" s="43"/>
      <c r="H264" s="46"/>
      <c r="I264" s="43"/>
      <c r="J264" s="46"/>
      <c r="K264" s="43"/>
      <c r="L264" s="46"/>
      <c r="M264" s="39"/>
      <c r="N264" s="39"/>
    </row>
    <row r="265" spans="1:14" ht="14.25" thickTop="1" thickBot="1">
      <c r="A265" s="49"/>
      <c r="B265" s="116"/>
      <c r="C265" s="43"/>
      <c r="D265" s="46"/>
      <c r="E265" s="43"/>
      <c r="F265" s="46"/>
      <c r="G265" s="43"/>
      <c r="H265" s="46"/>
      <c r="I265" s="43"/>
      <c r="J265" s="46"/>
      <c r="K265" s="43"/>
      <c r="L265" s="46"/>
      <c r="M265" s="39"/>
      <c r="N265" s="39"/>
    </row>
    <row r="266" spans="1:14" ht="14.25" thickTop="1" thickBot="1">
      <c r="A266" s="49"/>
      <c r="B266" s="116"/>
      <c r="C266" s="43"/>
      <c r="D266" s="46"/>
      <c r="E266" s="43"/>
      <c r="F266" s="46"/>
      <c r="G266" s="43"/>
      <c r="H266" s="46"/>
      <c r="I266" s="43"/>
      <c r="J266" s="46"/>
      <c r="K266" s="43"/>
      <c r="L266" s="46"/>
      <c r="M266" s="39"/>
      <c r="N266" s="39"/>
    </row>
    <row r="267" spans="1:14" ht="14.25" thickTop="1" thickBot="1">
      <c r="A267" s="49"/>
      <c r="B267" s="116"/>
      <c r="C267" s="43"/>
      <c r="D267" s="46"/>
      <c r="E267" s="43"/>
      <c r="F267" s="46"/>
      <c r="G267" s="43"/>
      <c r="H267" s="46"/>
      <c r="I267" s="43"/>
      <c r="J267" s="46"/>
      <c r="K267" s="43"/>
      <c r="L267" s="46"/>
      <c r="M267" s="39"/>
      <c r="N267" s="39"/>
    </row>
    <row r="268" spans="1:14" s="40" customFormat="1" ht="14.25" thickTop="1" thickBot="1">
      <c r="A268" s="39"/>
      <c r="B268" s="115"/>
      <c r="C268" s="42"/>
      <c r="D268" s="45"/>
      <c r="E268" s="42"/>
      <c r="F268" s="45"/>
      <c r="G268" s="42"/>
      <c r="H268" s="45"/>
      <c r="I268" s="42"/>
      <c r="J268" s="45"/>
      <c r="K268" s="42"/>
      <c r="L268" s="45"/>
      <c r="M268" s="39"/>
      <c r="N268" s="39"/>
    </row>
    <row r="269" spans="1:14" ht="14.25" thickTop="1" thickBot="1">
      <c r="A269" s="49"/>
      <c r="B269" s="116"/>
      <c r="C269" s="43"/>
      <c r="D269" s="46"/>
      <c r="E269" s="43"/>
      <c r="F269" s="46"/>
      <c r="G269" s="43"/>
      <c r="H269" s="46"/>
      <c r="I269" s="43"/>
      <c r="J269" s="46"/>
      <c r="K269" s="43"/>
      <c r="L269" s="46"/>
      <c r="M269" s="39"/>
      <c r="N269" s="39"/>
    </row>
    <row r="270" spans="1:14" ht="14.25" thickTop="1" thickBot="1">
      <c r="A270" s="49"/>
      <c r="B270" s="116"/>
      <c r="C270" s="43"/>
      <c r="D270" s="46"/>
      <c r="E270" s="43"/>
      <c r="F270" s="46"/>
      <c r="G270" s="43"/>
      <c r="H270" s="46"/>
      <c r="I270" s="43"/>
      <c r="J270" s="46"/>
      <c r="K270" s="43"/>
      <c r="L270" s="46"/>
      <c r="M270" s="39"/>
      <c r="N270" s="39"/>
    </row>
    <row r="271" spans="1:14" ht="14.25" thickTop="1" thickBot="1">
      <c r="A271" s="49"/>
      <c r="B271" s="116"/>
      <c r="C271" s="43"/>
      <c r="D271" s="46"/>
      <c r="E271" s="43"/>
      <c r="F271" s="46"/>
      <c r="G271" s="43"/>
      <c r="H271" s="46"/>
      <c r="I271" s="43"/>
      <c r="J271" s="46"/>
      <c r="K271" s="43"/>
      <c r="L271" s="46"/>
      <c r="M271" s="39"/>
      <c r="N271" s="39"/>
    </row>
    <row r="272" spans="1:14" ht="14.25" thickTop="1" thickBot="1">
      <c r="A272" s="49"/>
      <c r="B272" s="116"/>
      <c r="C272" s="43"/>
      <c r="D272" s="46"/>
      <c r="E272" s="43"/>
      <c r="F272" s="46"/>
      <c r="G272" s="43"/>
      <c r="H272" s="46"/>
      <c r="I272" s="43"/>
      <c r="J272" s="46"/>
      <c r="K272" s="43"/>
      <c r="L272" s="46"/>
      <c r="M272" s="39"/>
      <c r="N272" s="39"/>
    </row>
    <row r="273" spans="1:14" ht="14.25" thickTop="1" thickBot="1">
      <c r="A273" s="49"/>
      <c r="B273" s="116"/>
      <c r="C273" s="43"/>
      <c r="D273" s="46"/>
      <c r="E273" s="43"/>
      <c r="F273" s="46"/>
      <c r="G273" s="43"/>
      <c r="H273" s="46"/>
      <c r="I273" s="43"/>
      <c r="J273" s="46"/>
      <c r="K273" s="43"/>
      <c r="L273" s="46"/>
      <c r="M273" s="39"/>
      <c r="N273" s="39"/>
    </row>
    <row r="274" spans="1:14" ht="14.25" thickTop="1" thickBot="1">
      <c r="A274" s="49"/>
      <c r="B274" s="116"/>
      <c r="C274" s="43"/>
      <c r="D274" s="46"/>
      <c r="E274" s="43"/>
      <c r="F274" s="46"/>
      <c r="G274" s="43"/>
      <c r="H274" s="46"/>
      <c r="I274" s="43"/>
      <c r="J274" s="46"/>
      <c r="K274" s="43"/>
      <c r="L274" s="46"/>
      <c r="M274" s="39"/>
      <c r="N274" s="39"/>
    </row>
    <row r="275" spans="1:14" s="40" customFormat="1" ht="14.25" thickTop="1" thickBot="1">
      <c r="A275" s="39"/>
      <c r="B275" s="115"/>
      <c r="C275" s="42"/>
      <c r="D275" s="45"/>
      <c r="E275" s="42"/>
      <c r="F275" s="45"/>
      <c r="G275" s="42"/>
      <c r="H275" s="45"/>
      <c r="I275" s="42"/>
      <c r="J275" s="45"/>
      <c r="K275" s="42"/>
      <c r="L275" s="45"/>
      <c r="M275" s="39"/>
      <c r="N275" s="39"/>
    </row>
    <row r="276" spans="1:14" ht="14.25" thickTop="1" thickBot="1">
      <c r="A276" s="49"/>
      <c r="B276" s="116"/>
      <c r="C276" s="43"/>
      <c r="D276" s="46"/>
      <c r="E276" s="43"/>
      <c r="F276" s="46"/>
      <c r="G276" s="43"/>
      <c r="H276" s="46"/>
      <c r="I276" s="43"/>
      <c r="J276" s="46"/>
      <c r="K276" s="43"/>
      <c r="L276" s="46"/>
      <c r="M276" s="39"/>
      <c r="N276" s="39"/>
    </row>
    <row r="277" spans="1:14" ht="14.25" thickTop="1" thickBot="1">
      <c r="A277" s="49"/>
      <c r="B277" s="116"/>
      <c r="C277" s="43"/>
      <c r="D277" s="46"/>
      <c r="E277" s="43"/>
      <c r="F277" s="46"/>
      <c r="G277" s="43"/>
      <c r="H277" s="46"/>
      <c r="I277" s="43"/>
      <c r="J277" s="46"/>
      <c r="K277" s="43"/>
      <c r="L277" s="46"/>
      <c r="M277" s="39"/>
      <c r="N277" s="39"/>
    </row>
    <row r="278" spans="1:14" ht="14.25" thickTop="1" thickBot="1">
      <c r="A278" s="49"/>
      <c r="B278" s="116"/>
      <c r="C278" s="43"/>
      <c r="D278" s="46"/>
      <c r="E278" s="43"/>
      <c r="F278" s="46"/>
      <c r="G278" s="43"/>
      <c r="H278" s="46"/>
      <c r="I278" s="43"/>
      <c r="J278" s="46"/>
      <c r="K278" s="43"/>
      <c r="L278" s="46"/>
      <c r="M278" s="39"/>
      <c r="N278" s="39"/>
    </row>
    <row r="279" spans="1:14" ht="14.25" thickTop="1" thickBot="1">
      <c r="A279" s="49"/>
      <c r="B279" s="116"/>
      <c r="C279" s="43"/>
      <c r="D279" s="46"/>
      <c r="E279" s="43"/>
      <c r="F279" s="46"/>
      <c r="G279" s="43"/>
      <c r="H279" s="46"/>
      <c r="I279" s="43"/>
      <c r="J279" s="46"/>
      <c r="K279" s="43"/>
      <c r="L279" s="46"/>
      <c r="M279" s="39"/>
      <c r="N279" s="39"/>
    </row>
    <row r="280" spans="1:14" ht="14.25" thickTop="1" thickBot="1">
      <c r="A280" s="49"/>
      <c r="B280" s="116"/>
      <c r="C280" s="43"/>
      <c r="D280" s="46"/>
      <c r="E280" s="43"/>
      <c r="F280" s="46"/>
      <c r="G280" s="43"/>
      <c r="H280" s="46"/>
      <c r="I280" s="43"/>
      <c r="J280" s="46"/>
      <c r="K280" s="43"/>
      <c r="L280" s="46"/>
      <c r="M280" s="39"/>
      <c r="N280" s="39"/>
    </row>
    <row r="281" spans="1:14" ht="14.25" thickTop="1" thickBot="1">
      <c r="A281" s="49"/>
      <c r="B281" s="116"/>
      <c r="C281" s="43"/>
      <c r="D281" s="46"/>
      <c r="E281" s="43"/>
      <c r="F281" s="46"/>
      <c r="G281" s="43"/>
      <c r="H281" s="46"/>
      <c r="I281" s="43"/>
      <c r="J281" s="46"/>
      <c r="K281" s="43"/>
      <c r="L281" s="46"/>
      <c r="M281" s="39"/>
      <c r="N281" s="39"/>
    </row>
    <row r="282" spans="1:14" ht="13.5" thickTop="1">
      <c r="A282"/>
      <c r="B282" s="64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>
      <c r="A283"/>
      <c r="B283" s="64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>
      <c r="A284"/>
      <c r="B284" s="6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>
      <c r="A285"/>
      <c r="B285" s="64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>
      <c r="A286"/>
      <c r="B286" s="64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>
      <c r="A287"/>
      <c r="B287" s="64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s="40" customFormat="1">
      <c r="A288"/>
      <c r="B288" s="64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>
      <c r="A289"/>
      <c r="B289" s="64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>
      <c r="A290"/>
      <c r="B290" s="64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>
      <c r="A291"/>
      <c r="B291" s="64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>
      <c r="A292"/>
      <c r="B292" s="64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>
      <c r="A293"/>
      <c r="B293" s="64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>
      <c r="A294"/>
      <c r="B294" s="6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s="40" customFormat="1">
      <c r="A295"/>
      <c r="B295" s="64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>
      <c r="A296"/>
      <c r="B296" s="64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>
      <c r="A297"/>
      <c r="B297" s="64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>
      <c r="A298"/>
      <c r="B298" s="64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>
      <c r="A299"/>
      <c r="B299" s="64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>
      <c r="A300"/>
      <c r="B300" s="64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>
      <c r="A301"/>
      <c r="B301" s="64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s="40" customFormat="1">
      <c r="A302"/>
      <c r="B302" s="64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>
      <c r="A303"/>
      <c r="B303" s="64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>
      <c r="A304"/>
      <c r="B304" s="6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2:2" customFormat="1">
      <c r="B305" s="64"/>
    </row>
    <row r="306" spans="2:2" customFormat="1">
      <c r="B306" s="64"/>
    </row>
    <row r="307" spans="2:2" customFormat="1">
      <c r="B307" s="64"/>
    </row>
    <row r="308" spans="2:2" customFormat="1">
      <c r="B308" s="64"/>
    </row>
    <row r="309" spans="2:2" customFormat="1">
      <c r="B309" s="64"/>
    </row>
    <row r="310" spans="2:2" customFormat="1">
      <c r="B310" s="64"/>
    </row>
    <row r="311" spans="2:2" customFormat="1">
      <c r="B311" s="64"/>
    </row>
    <row r="312" spans="2:2" customFormat="1">
      <c r="B312" s="64"/>
    </row>
    <row r="313" spans="2:2" customFormat="1">
      <c r="B313" s="64"/>
    </row>
    <row r="314" spans="2:2" customFormat="1">
      <c r="B314" s="64"/>
    </row>
    <row r="315" spans="2:2" customFormat="1">
      <c r="B315" s="64"/>
    </row>
    <row r="316" spans="2:2" customFormat="1">
      <c r="B316" s="64"/>
    </row>
    <row r="317" spans="2:2" customFormat="1">
      <c r="B317" s="64"/>
    </row>
  </sheetData>
  <mergeCells count="1">
    <mergeCell ref="C1:N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80" orientation="portrait" horizontalDpi="4294967294" r:id="rId1"/>
  <headerFooter alignWithMargins="0">
    <oddFooter>Strona &amp;P</oddFooter>
  </headerFooter>
  <rowBreaks count="4" manualBreakCount="4">
    <brk id="57" max="16383" man="1"/>
    <brk id="113" max="16383" man="1"/>
    <brk id="169" max="16383" man="1"/>
    <brk id="225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B42"/>
  <sheetViews>
    <sheetView showGridLines="0" workbookViewId="0"/>
  </sheetViews>
  <sheetFormatPr defaultRowHeight="12.75"/>
  <cols>
    <col min="1" max="1" width="30.5703125" bestFit="1" customWidth="1"/>
    <col min="2" max="2" width="18.7109375" bestFit="1" customWidth="1"/>
  </cols>
  <sheetData>
    <row r="1" spans="1:2" ht="14.25" thickTop="1" thickBot="1">
      <c r="A1" s="120"/>
      <c r="B1" s="52" t="str">
        <f>wyniki!A7</f>
        <v>SP14 Warszawa</v>
      </c>
    </row>
    <row r="2" spans="1:2" ht="14.25" thickTop="1" thickBot="1">
      <c r="A2" s="120"/>
      <c r="B2" s="52" t="str">
        <f>wyniki!A14</f>
        <v>SP204 Warszawa</v>
      </c>
    </row>
    <row r="3" spans="1:2" ht="14.25" thickTop="1" thickBot="1">
      <c r="A3" s="120"/>
      <c r="B3" s="52" t="str">
        <f>wyniki!A21</f>
        <v>PSP 2 Radom</v>
      </c>
    </row>
    <row r="4" spans="1:2" ht="14.25" thickTop="1" thickBot="1">
      <c r="A4" s="120"/>
      <c r="B4" s="52" t="str">
        <f>wyniki!A28</f>
        <v>SP2 Ostrów Maz.</v>
      </c>
    </row>
    <row r="5" spans="1:2" ht="14.25" thickTop="1" thickBot="1">
      <c r="A5" s="120"/>
      <c r="B5" s="52" t="str">
        <f>wyniki!A35</f>
        <v>SP2 Chorzele</v>
      </c>
    </row>
    <row r="6" spans="1:2" ht="14.25" thickTop="1" thickBot="1">
      <c r="A6" s="120"/>
      <c r="B6" s="52" t="str">
        <f>wyniki!A42</f>
        <v>SP Bieniewice</v>
      </c>
    </row>
    <row r="7" spans="1:2" ht="14.25" thickTop="1" thickBot="1">
      <c r="A7" s="120"/>
      <c r="B7" s="52" t="str">
        <f>wyniki!A49</f>
        <v>SP2 Węgrów</v>
      </c>
    </row>
    <row r="8" spans="1:2" ht="14.25" thickTop="1" thickBot="1">
      <c r="A8" s="120"/>
      <c r="B8" s="52" t="str">
        <f>wyniki!A56</f>
        <v>SP11 Siedlce</v>
      </c>
    </row>
    <row r="9" spans="1:2" ht="14.25" thickTop="1" thickBot="1">
      <c r="A9" s="120"/>
      <c r="B9" s="52" t="str">
        <f>wyniki!A63</f>
        <v>SP Podkowa Leśna</v>
      </c>
    </row>
    <row r="10" spans="1:2" ht="14.25" thickTop="1" thickBot="1">
      <c r="A10" s="120"/>
      <c r="B10" s="52" t="str">
        <f>wyniki!A70</f>
        <v>ZSP Lesznowola</v>
      </c>
    </row>
    <row r="11" spans="1:2" ht="14.25" thickTop="1" thickBot="1">
      <c r="A11" s="120"/>
      <c r="B11" s="52" t="str">
        <f>wyniki!A77</f>
        <v>SP3 Piaseczno</v>
      </c>
    </row>
    <row r="12" spans="1:2" ht="14.25" thickTop="1" thickBot="1">
      <c r="A12" s="120"/>
      <c r="B12" s="52" t="str">
        <f>wyniki!A84</f>
        <v>ZSP Jedlińsk</v>
      </c>
    </row>
    <row r="13" spans="1:2" ht="14.25" thickTop="1" thickBot="1">
      <c r="A13" s="120"/>
      <c r="B13" s="52">
        <f>wyniki!A91</f>
        <v>0</v>
      </c>
    </row>
    <row r="14" spans="1:2" ht="14.25" thickTop="1" thickBot="1">
      <c r="A14" s="120"/>
      <c r="B14" s="52">
        <f>wyniki!A98</f>
        <v>0</v>
      </c>
    </row>
    <row r="15" spans="1:2" ht="14.25" thickTop="1" thickBot="1">
      <c r="A15" s="120"/>
      <c r="B15" s="52">
        <f>wyniki!A105</f>
        <v>0</v>
      </c>
    </row>
    <row r="16" spans="1:2" ht="14.25" thickTop="1" thickBot="1">
      <c r="A16" s="120"/>
      <c r="B16" s="52">
        <f>wyniki!A112</f>
        <v>0</v>
      </c>
    </row>
    <row r="17" spans="1:2" ht="14.25" thickTop="1" thickBot="1">
      <c r="A17" s="120"/>
      <c r="B17" s="52">
        <f>wyniki!A119</f>
        <v>0</v>
      </c>
    </row>
    <row r="18" spans="1:2" ht="14.25" thickTop="1" thickBot="1">
      <c r="A18" s="120"/>
      <c r="B18" s="52">
        <f>wyniki!A126</f>
        <v>0</v>
      </c>
    </row>
    <row r="19" spans="1:2" ht="14.25" thickTop="1" thickBot="1">
      <c r="A19" s="120"/>
      <c r="B19" s="52">
        <f>wyniki!A133</f>
        <v>0</v>
      </c>
    </row>
    <row r="20" spans="1:2" ht="14.25" thickTop="1" thickBot="1">
      <c r="A20" s="120"/>
      <c r="B20" s="52">
        <f>wyniki!A140</f>
        <v>0</v>
      </c>
    </row>
    <row r="21" spans="1:2" ht="14.25" thickTop="1" thickBot="1">
      <c r="A21" s="120"/>
      <c r="B21" s="52">
        <f>wyniki!A147</f>
        <v>0</v>
      </c>
    </row>
    <row r="22" spans="1:2" ht="14.25" thickTop="1" thickBot="1">
      <c r="A22" s="120"/>
      <c r="B22" s="52">
        <f>wyniki!A154</f>
        <v>0</v>
      </c>
    </row>
    <row r="23" spans="1:2" ht="14.25" thickTop="1" thickBot="1">
      <c r="A23" s="120"/>
      <c r="B23" s="52">
        <f>wyniki!A161</f>
        <v>0</v>
      </c>
    </row>
    <row r="24" spans="1:2" ht="14.25" thickTop="1" thickBot="1">
      <c r="A24" s="120"/>
      <c r="B24" s="52">
        <f>wyniki!A168</f>
        <v>0</v>
      </c>
    </row>
    <row r="25" spans="1:2" ht="14.25" thickTop="1" thickBot="1">
      <c r="A25" s="120"/>
      <c r="B25" s="52">
        <f>wyniki!A175</f>
        <v>0</v>
      </c>
    </row>
    <row r="26" spans="1:2" ht="14.25" thickTop="1" thickBot="1">
      <c r="A26" s="120"/>
      <c r="B26" s="52">
        <f>wyniki!A182</f>
        <v>0</v>
      </c>
    </row>
    <row r="27" spans="1:2" ht="14.25" thickTop="1" thickBot="1">
      <c r="A27" s="120"/>
      <c r="B27" s="52">
        <f>wyniki!A189</f>
        <v>0</v>
      </c>
    </row>
    <row r="28" spans="1:2" ht="14.25" thickTop="1" thickBot="1">
      <c r="A28" s="120"/>
      <c r="B28" s="52">
        <f>wyniki!A196</f>
        <v>0</v>
      </c>
    </row>
    <row r="29" spans="1:2" ht="14.25" thickTop="1" thickBot="1">
      <c r="A29" s="120"/>
      <c r="B29" s="52">
        <f>wyniki!A203</f>
        <v>0</v>
      </c>
    </row>
    <row r="30" spans="1:2" ht="14.25" thickTop="1" thickBot="1">
      <c r="A30" s="120"/>
      <c r="B30" s="52">
        <f>wyniki!A210</f>
        <v>0</v>
      </c>
    </row>
    <row r="31" spans="1:2" ht="14.25" thickTop="1" thickBot="1">
      <c r="A31" s="120"/>
      <c r="B31" s="52">
        <f>wyniki!A217</f>
        <v>0</v>
      </c>
    </row>
    <row r="32" spans="1:2" ht="14.25" thickTop="1" thickBot="1">
      <c r="A32" s="120"/>
      <c r="B32" s="52">
        <f>wyniki!A224</f>
        <v>0</v>
      </c>
    </row>
    <row r="33" spans="1:2" ht="14.25" thickTop="1" thickBot="1">
      <c r="A33" s="120"/>
      <c r="B33" s="52">
        <f>wyniki!A231</f>
        <v>0</v>
      </c>
    </row>
    <row r="34" spans="1:2" ht="14.25" thickTop="1" thickBot="1">
      <c r="A34" s="120"/>
      <c r="B34" s="52">
        <f>wyniki!A238</f>
        <v>0</v>
      </c>
    </row>
    <row r="35" spans="1:2" ht="14.25" thickTop="1" thickBot="1">
      <c r="A35" s="120"/>
      <c r="B35" s="52">
        <f>wyniki!A245</f>
        <v>0</v>
      </c>
    </row>
    <row r="36" spans="1:2" ht="14.25" thickTop="1" thickBot="1">
      <c r="A36" s="120"/>
      <c r="B36" s="52">
        <f>wyniki!A252</f>
        <v>0</v>
      </c>
    </row>
    <row r="37" spans="1:2" ht="14.25" thickTop="1" thickBot="1">
      <c r="A37" s="120"/>
      <c r="B37" s="52">
        <f>wyniki!A259</f>
        <v>0</v>
      </c>
    </row>
    <row r="38" spans="1:2" ht="14.25" thickTop="1" thickBot="1">
      <c r="A38" s="120"/>
      <c r="B38" s="52">
        <f>wyniki!A266</f>
        <v>0</v>
      </c>
    </row>
    <row r="39" spans="1:2" ht="14.25" thickTop="1" thickBot="1">
      <c r="A39" s="120"/>
      <c r="B39" s="52">
        <f>wyniki!A273</f>
        <v>0</v>
      </c>
    </row>
    <row r="40" spans="1:2" ht="14.25" thickTop="1" thickBot="1">
      <c r="A40" s="120"/>
      <c r="B40" s="52">
        <f>wyniki!A280</f>
        <v>0</v>
      </c>
    </row>
    <row r="41" spans="1:2" ht="14.25" thickTop="1" thickBot="1">
      <c r="A41" s="118" t="s">
        <v>263</v>
      </c>
      <c r="B41" s="52"/>
    </row>
    <row r="42" spans="1:2" ht="13.5" thickTop="1"/>
  </sheetData>
  <sheetProtection sheet="1" objects="1" scenarios="1"/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6"/>
  <dimension ref="D2:H38"/>
  <sheetViews>
    <sheetView showGridLines="0" tabSelected="1" zoomScaleNormal="100" workbookViewId="0">
      <selection activeCell="D5" sqref="D5"/>
    </sheetView>
  </sheetViews>
  <sheetFormatPr defaultRowHeight="12.75"/>
  <cols>
    <col min="6" max="6" width="0" hidden="1" customWidth="1"/>
    <col min="7" max="7" width="18.7109375" bestFit="1" customWidth="1"/>
    <col min="8" max="8" width="19.85546875" bestFit="1" customWidth="1"/>
  </cols>
  <sheetData>
    <row r="2" spans="4:8" ht="12.75" customHeight="1"/>
    <row r="3" spans="4:8" ht="33" customHeight="1">
      <c r="D3" s="128" t="s">
        <v>1706</v>
      </c>
      <c r="E3" s="128"/>
      <c r="F3" s="128"/>
      <c r="G3" s="128"/>
      <c r="H3" s="128"/>
    </row>
    <row r="4" spans="4:8" ht="13.5" thickBot="1"/>
    <row r="5" spans="4:8" ht="13.5" thickBot="1">
      <c r="D5" s="88" t="s">
        <v>1722</v>
      </c>
      <c r="E5" s="88" t="s">
        <v>1704</v>
      </c>
      <c r="F5" s="88"/>
      <c r="G5" s="88" t="s">
        <v>1721</v>
      </c>
      <c r="H5" s="88" t="s">
        <v>1705</v>
      </c>
    </row>
    <row r="6" spans="4:8" ht="13.5" thickBot="1">
      <c r="D6" s="88">
        <v>1</v>
      </c>
      <c r="E6" s="89">
        <f>'II DZIEN'!H2</f>
        <v>1373.0000199999999</v>
      </c>
      <c r="F6" s="90">
        <f>'II DZIEN'!I2</f>
        <v>2</v>
      </c>
      <c r="G6" s="90" t="str">
        <f>'II DZIEN'!J2</f>
        <v>SP204 Warszawa</v>
      </c>
      <c r="H6" s="90">
        <f>'II DZIEN'!T2</f>
        <v>0</v>
      </c>
    </row>
    <row r="7" spans="4:8" ht="13.5" thickBot="1">
      <c r="D7" s="88">
        <v>2</v>
      </c>
      <c r="E7" s="89">
        <f>'II DZIEN'!H3</f>
        <v>1330.00009</v>
      </c>
      <c r="F7" s="90">
        <f>'II DZIEN'!I3</f>
        <v>9</v>
      </c>
      <c r="G7" s="90" t="str">
        <f>'II DZIEN'!J3</f>
        <v>SP Podkowa Leśna</v>
      </c>
      <c r="H7" s="90">
        <f>'II DZIEN'!T3</f>
        <v>0</v>
      </c>
    </row>
    <row r="8" spans="4:8" ht="13.5" thickBot="1">
      <c r="D8" s="88">
        <v>3</v>
      </c>
      <c r="E8" s="89">
        <f>'II DZIEN'!H4</f>
        <v>1282.0000500000001</v>
      </c>
      <c r="F8" s="90">
        <f>'II DZIEN'!I4</f>
        <v>5</v>
      </c>
      <c r="G8" s="90" t="str">
        <f>'II DZIEN'!J4</f>
        <v>SP2 Chorzele</v>
      </c>
      <c r="H8" s="90">
        <f>'II DZIEN'!T4</f>
        <v>0</v>
      </c>
    </row>
    <row r="9" spans="4:8" ht="13.5" thickBot="1">
      <c r="D9" s="88">
        <v>4</v>
      </c>
      <c r="E9" s="89">
        <f>'II DZIEN'!H5</f>
        <v>1269.00008</v>
      </c>
      <c r="F9" s="90">
        <f>'II DZIEN'!I5</f>
        <v>8</v>
      </c>
      <c r="G9" s="90" t="str">
        <f>'II DZIEN'!J5</f>
        <v>SP11 Siedlce</v>
      </c>
      <c r="H9" s="90">
        <f>'II DZIEN'!T5</f>
        <v>0</v>
      </c>
    </row>
    <row r="10" spans="4:8" ht="13.5" thickBot="1">
      <c r="D10" s="88">
        <v>5</v>
      </c>
      <c r="E10" s="89">
        <f>'II DZIEN'!H6</f>
        <v>1252.0000700000001</v>
      </c>
      <c r="F10" s="90">
        <f>'II DZIEN'!I6</f>
        <v>7</v>
      </c>
      <c r="G10" s="90" t="str">
        <f>'II DZIEN'!J6</f>
        <v>SP2 Węgrów</v>
      </c>
      <c r="H10" s="90">
        <f>'II DZIEN'!T6</f>
        <v>0</v>
      </c>
    </row>
    <row r="11" spans="4:8" ht="13.5" thickBot="1">
      <c r="D11" s="88">
        <v>6</v>
      </c>
      <c r="E11" s="89">
        <f>'II DZIEN'!H7</f>
        <v>1172.0000600000001</v>
      </c>
      <c r="F11" s="90">
        <f>'II DZIEN'!I7</f>
        <v>6</v>
      </c>
      <c r="G11" s="90" t="str">
        <f>'II DZIEN'!J7</f>
        <v>SP Bieniewice</v>
      </c>
      <c r="H11" s="90">
        <f>'II DZIEN'!T7</f>
        <v>0</v>
      </c>
    </row>
    <row r="12" spans="4:8" ht="13.5" thickBot="1">
      <c r="D12" s="88">
        <v>7</v>
      </c>
      <c r="E12" s="89">
        <f>'II DZIEN'!H8</f>
        <v>1127.00001</v>
      </c>
      <c r="F12" s="90">
        <f>'II DZIEN'!I8</f>
        <v>1</v>
      </c>
      <c r="G12" s="90" t="str">
        <f>'II DZIEN'!J8</f>
        <v>SP14 Warszawa</v>
      </c>
      <c r="H12" s="90">
        <f>'II DZIEN'!T8</f>
        <v>0</v>
      </c>
    </row>
    <row r="13" spans="4:8" ht="13.5" thickBot="1">
      <c r="D13" s="88">
        <v>8</v>
      </c>
      <c r="E13" s="89">
        <f>'II DZIEN'!H9</f>
        <v>1101.0001199999999</v>
      </c>
      <c r="F13" s="90">
        <f>'II DZIEN'!I9</f>
        <v>12</v>
      </c>
      <c r="G13" s="90" t="str">
        <f>'II DZIEN'!J9</f>
        <v>ZSP Jedlińsk</v>
      </c>
      <c r="H13" s="90">
        <f>'II DZIEN'!T9</f>
        <v>0</v>
      </c>
    </row>
    <row r="14" spans="4:8" ht="13.5" thickBot="1">
      <c r="D14" s="88">
        <v>9</v>
      </c>
      <c r="E14" s="89">
        <f>'II DZIEN'!H10</f>
        <v>1096.0000399999999</v>
      </c>
      <c r="F14" s="90">
        <f>'II DZIEN'!I10</f>
        <v>4</v>
      </c>
      <c r="G14" s="90" t="str">
        <f>'II DZIEN'!J10</f>
        <v>SP2 Ostrów Maz.</v>
      </c>
      <c r="H14" s="90">
        <f>'II DZIEN'!T10</f>
        <v>0</v>
      </c>
    </row>
    <row r="15" spans="4:8" ht="13.5" thickBot="1">
      <c r="D15" s="88">
        <v>10</v>
      </c>
      <c r="E15" s="89">
        <f>'II DZIEN'!H11</f>
        <v>1018.0001099999999</v>
      </c>
      <c r="F15" s="90">
        <f>'II DZIEN'!I11</f>
        <v>11</v>
      </c>
      <c r="G15" s="90" t="str">
        <f>'II DZIEN'!J11</f>
        <v>SP3 Piaseczno</v>
      </c>
      <c r="H15" s="90">
        <f>'II DZIEN'!T11</f>
        <v>0</v>
      </c>
    </row>
    <row r="16" spans="4:8" ht="13.5" thickBot="1">
      <c r="D16" s="88">
        <v>11</v>
      </c>
      <c r="E16" s="89">
        <f>'II DZIEN'!H12</f>
        <v>943.00003000000004</v>
      </c>
      <c r="F16" s="90">
        <f>'II DZIEN'!I12</f>
        <v>3</v>
      </c>
      <c r="G16" s="90" t="str">
        <f>'II DZIEN'!J12</f>
        <v>PSP 2 Radom</v>
      </c>
      <c r="H16" s="90">
        <f>'II DZIEN'!T12</f>
        <v>0</v>
      </c>
    </row>
    <row r="17" spans="4:8" ht="13.5" thickBot="1">
      <c r="D17" s="88">
        <v>12</v>
      </c>
      <c r="E17" s="89">
        <f>'II DZIEN'!H13</f>
        <v>876.00009999999997</v>
      </c>
      <c r="F17" s="90">
        <f>'II DZIEN'!I13</f>
        <v>10</v>
      </c>
      <c r="G17" s="90" t="str">
        <f>'II DZIEN'!J13</f>
        <v>ZSP Lesznowola</v>
      </c>
      <c r="H17" s="90">
        <f>'II DZIEN'!T13</f>
        <v>0</v>
      </c>
    </row>
    <row r="18" spans="4:8" ht="13.5" thickBot="1">
      <c r="D18" s="88">
        <v>13</v>
      </c>
      <c r="E18" s="89">
        <f>'II DZIEN'!H14</f>
        <v>4.0000000000000002E-4</v>
      </c>
      <c r="F18" s="90">
        <f>'II DZIEN'!I14</f>
        <v>40</v>
      </c>
      <c r="G18" s="90">
        <f>'II DZIEN'!J14</f>
        <v>0</v>
      </c>
      <c r="H18" s="90">
        <f>'II DZIEN'!T14</f>
        <v>0</v>
      </c>
    </row>
    <row r="19" spans="4:8" ht="13.5" thickBot="1">
      <c r="D19" s="88">
        <v>14</v>
      </c>
      <c r="E19" s="89">
        <f>'II DZIEN'!H15</f>
        <v>3.8999999999999999E-4</v>
      </c>
      <c r="F19" s="90">
        <f>'II DZIEN'!I15</f>
        <v>39</v>
      </c>
      <c r="G19" s="90">
        <f>'II DZIEN'!J15</f>
        <v>0</v>
      </c>
      <c r="H19" s="90">
        <f>'II DZIEN'!T15</f>
        <v>0</v>
      </c>
    </row>
    <row r="20" spans="4:8" ht="13.5" thickBot="1">
      <c r="D20" s="88">
        <v>15</v>
      </c>
      <c r="E20" s="89">
        <f>'II DZIEN'!H16</f>
        <v>3.8000000000000002E-4</v>
      </c>
      <c r="F20" s="90">
        <f>'II DZIEN'!I16</f>
        <v>38</v>
      </c>
      <c r="G20" s="90">
        <f>'II DZIEN'!J16</f>
        <v>0</v>
      </c>
      <c r="H20" s="90">
        <f>'II DZIEN'!T16</f>
        <v>0</v>
      </c>
    </row>
    <row r="21" spans="4:8" ht="13.5" thickBot="1">
      <c r="D21" s="88">
        <v>16</v>
      </c>
      <c r="E21" s="89">
        <f>'II DZIEN'!H17</f>
        <v>3.6999999999999999E-4</v>
      </c>
      <c r="F21" s="90">
        <f>'II DZIEN'!I17</f>
        <v>37</v>
      </c>
      <c r="G21" s="90">
        <f>'II DZIEN'!J17</f>
        <v>0</v>
      </c>
      <c r="H21" s="90">
        <f>'II DZIEN'!T17</f>
        <v>0</v>
      </c>
    </row>
    <row r="22" spans="4:8" ht="13.5" thickBot="1">
      <c r="D22" s="88">
        <v>17</v>
      </c>
      <c r="E22" s="89">
        <f>'II DZIEN'!H18</f>
        <v>3.6000000000000002E-4</v>
      </c>
      <c r="F22" s="90">
        <f>'II DZIEN'!I18</f>
        <v>36</v>
      </c>
      <c r="G22" s="90">
        <f>'II DZIEN'!J18</f>
        <v>0</v>
      </c>
      <c r="H22" s="90">
        <f>'II DZIEN'!T18</f>
        <v>0</v>
      </c>
    </row>
    <row r="23" spans="4:8" ht="13.5" thickBot="1">
      <c r="D23" s="88">
        <v>18</v>
      </c>
      <c r="E23" s="89">
        <f>'II DZIEN'!H19</f>
        <v>3.5E-4</v>
      </c>
      <c r="F23" s="90">
        <f>'II DZIEN'!I19</f>
        <v>35</v>
      </c>
      <c r="G23" s="90">
        <f>'II DZIEN'!J19</f>
        <v>0</v>
      </c>
      <c r="H23" s="90">
        <f>'II DZIEN'!T19</f>
        <v>0</v>
      </c>
    </row>
    <row r="24" spans="4:8" ht="13.5" thickBot="1">
      <c r="D24" s="88">
        <v>19</v>
      </c>
      <c r="E24" s="89">
        <f>'II DZIEN'!H20</f>
        <v>3.4000000000000002E-4</v>
      </c>
      <c r="F24" s="90">
        <f>'II DZIEN'!I20</f>
        <v>34</v>
      </c>
      <c r="G24" s="90">
        <f>'II DZIEN'!J20</f>
        <v>0</v>
      </c>
      <c r="H24" s="90">
        <f>'II DZIEN'!T20</f>
        <v>0</v>
      </c>
    </row>
    <row r="25" spans="4:8" ht="13.5" thickBot="1">
      <c r="D25" s="88">
        <v>20</v>
      </c>
      <c r="E25" s="89">
        <f>'II DZIEN'!H21</f>
        <v>3.3E-4</v>
      </c>
      <c r="F25" s="90">
        <f>'II DZIEN'!I21</f>
        <v>33</v>
      </c>
      <c r="G25" s="90">
        <f>'II DZIEN'!J21</f>
        <v>0</v>
      </c>
      <c r="H25" s="90">
        <f>'II DZIEN'!T21</f>
        <v>0</v>
      </c>
    </row>
    <row r="26" spans="4:8" ht="13.5" thickBot="1">
      <c r="D26" s="88">
        <v>21</v>
      </c>
      <c r="E26" s="89">
        <f>'II DZIEN'!H22</f>
        <v>3.2000000000000003E-4</v>
      </c>
      <c r="F26" s="90">
        <f>'II DZIEN'!I22</f>
        <v>32</v>
      </c>
      <c r="G26" s="90">
        <f>'II DZIEN'!J22</f>
        <v>0</v>
      </c>
      <c r="H26" s="90">
        <f>'II DZIEN'!T22</f>
        <v>0</v>
      </c>
    </row>
    <row r="27" spans="4:8" ht="13.5" thickBot="1">
      <c r="D27" s="88">
        <v>22</v>
      </c>
      <c r="E27" s="89">
        <f>'II DZIEN'!H23</f>
        <v>3.1E-4</v>
      </c>
      <c r="F27" s="90">
        <f>'II DZIEN'!I23</f>
        <v>31</v>
      </c>
      <c r="G27" s="90">
        <f>'II DZIEN'!J23</f>
        <v>0</v>
      </c>
      <c r="H27" s="90">
        <f>'II DZIEN'!T23</f>
        <v>0</v>
      </c>
    </row>
    <row r="28" spans="4:8" ht="13.5" thickBot="1">
      <c r="D28" s="88">
        <v>23</v>
      </c>
      <c r="E28" s="89">
        <f>'II DZIEN'!H24</f>
        <v>2.9999999999999997E-4</v>
      </c>
      <c r="F28" s="90">
        <f>'II DZIEN'!I24</f>
        <v>30</v>
      </c>
      <c r="G28" s="90">
        <f>'II DZIEN'!J24</f>
        <v>0</v>
      </c>
      <c r="H28" s="90">
        <f>'II DZIEN'!T24</f>
        <v>0</v>
      </c>
    </row>
    <row r="29" spans="4:8" ht="13.5" thickBot="1">
      <c r="D29" s="88">
        <v>24</v>
      </c>
      <c r="E29" s="89">
        <f>'II DZIEN'!H25</f>
        <v>2.9E-4</v>
      </c>
      <c r="F29" s="90">
        <f>'II DZIEN'!I25</f>
        <v>29</v>
      </c>
      <c r="G29" s="90">
        <f>'II DZIEN'!J25</f>
        <v>0</v>
      </c>
      <c r="H29" s="90">
        <f>'II DZIEN'!T25</f>
        <v>0</v>
      </c>
    </row>
    <row r="30" spans="4:8" ht="13.5" thickBot="1">
      <c r="D30" s="88">
        <v>25</v>
      </c>
      <c r="E30" s="89">
        <f>'II DZIEN'!H26</f>
        <v>2.7999999999999998E-4</v>
      </c>
      <c r="F30" s="90">
        <f>'II DZIEN'!I26</f>
        <v>28</v>
      </c>
      <c r="G30" s="90">
        <f>'II DZIEN'!J26</f>
        <v>0</v>
      </c>
      <c r="H30" s="90">
        <f>'II DZIEN'!T26</f>
        <v>0</v>
      </c>
    </row>
    <row r="31" spans="4:8" ht="13.5" thickBot="1">
      <c r="D31" s="88">
        <v>26</v>
      </c>
      <c r="E31" s="89">
        <f>'II DZIEN'!H27</f>
        <v>2.7E-4</v>
      </c>
      <c r="F31" s="90">
        <f>'II DZIEN'!I27</f>
        <v>27</v>
      </c>
      <c r="G31" s="90">
        <f>'II DZIEN'!J27</f>
        <v>0</v>
      </c>
      <c r="H31" s="90">
        <f>'II DZIEN'!T27</f>
        <v>0</v>
      </c>
    </row>
    <row r="32" spans="4:8" ht="13.5" thickBot="1">
      <c r="D32" s="88">
        <v>27</v>
      </c>
      <c r="E32" s="89">
        <f>'II DZIEN'!H28</f>
        <v>2.5999999999999998E-4</v>
      </c>
      <c r="F32" s="90">
        <f>'II DZIEN'!I28</f>
        <v>26</v>
      </c>
      <c r="G32" s="90">
        <f>'II DZIEN'!J28</f>
        <v>0</v>
      </c>
      <c r="H32" s="90">
        <f>'II DZIEN'!T28</f>
        <v>0</v>
      </c>
    </row>
    <row r="33" spans="4:8" ht="13.5" thickBot="1">
      <c r="D33" s="88">
        <v>28</v>
      </c>
      <c r="E33" s="89">
        <f>'II DZIEN'!H29</f>
        <v>2.5000000000000001E-4</v>
      </c>
      <c r="F33" s="90">
        <f>'II DZIEN'!I29</f>
        <v>25</v>
      </c>
      <c r="G33" s="90">
        <f>'II DZIEN'!J29</f>
        <v>0</v>
      </c>
      <c r="H33" s="90">
        <f>'II DZIEN'!T29</f>
        <v>0</v>
      </c>
    </row>
    <row r="34" spans="4:8" ht="13.5" thickBot="1">
      <c r="D34" s="88">
        <v>29</v>
      </c>
      <c r="E34" s="89">
        <f>'II DZIEN'!H30</f>
        <v>2.4000000000000001E-4</v>
      </c>
      <c r="F34" s="90">
        <f>'II DZIEN'!I30</f>
        <v>24</v>
      </c>
      <c r="G34" s="90">
        <f>'II DZIEN'!J30</f>
        <v>0</v>
      </c>
      <c r="H34" s="90">
        <f>'II DZIEN'!T30</f>
        <v>0</v>
      </c>
    </row>
    <row r="35" spans="4:8" ht="13.5" thickBot="1">
      <c r="D35" s="88">
        <v>30</v>
      </c>
      <c r="E35" s="89">
        <f>'II DZIEN'!H31</f>
        <v>2.3000000000000001E-4</v>
      </c>
      <c r="F35" s="90">
        <f>'II DZIEN'!I31</f>
        <v>23</v>
      </c>
      <c r="G35" s="90">
        <f>'II DZIEN'!J31</f>
        <v>0</v>
      </c>
      <c r="H35" s="90">
        <f>'II DZIEN'!T31</f>
        <v>0</v>
      </c>
    </row>
    <row r="36" spans="4:8" ht="13.5" thickBot="1">
      <c r="D36" s="88">
        <v>31</v>
      </c>
      <c r="E36" s="89">
        <f>'II DZIEN'!H32</f>
        <v>2.2000000000000001E-4</v>
      </c>
      <c r="F36" s="90">
        <f>'II DZIEN'!I32</f>
        <v>22</v>
      </c>
      <c r="G36" s="90">
        <f>'II DZIEN'!J32</f>
        <v>0</v>
      </c>
      <c r="H36" s="90">
        <f>'II DZIEN'!T32</f>
        <v>0</v>
      </c>
    </row>
    <row r="37" spans="4:8" ht="13.5" thickBot="1">
      <c r="D37" s="88">
        <v>32</v>
      </c>
      <c r="E37" s="89">
        <f>'II DZIEN'!H33</f>
        <v>2.1000000000000001E-4</v>
      </c>
      <c r="F37" s="90">
        <f>'II DZIEN'!I33</f>
        <v>21</v>
      </c>
      <c r="G37" s="90">
        <f>'II DZIEN'!J33</f>
        <v>0</v>
      </c>
      <c r="H37" s="90">
        <f>'II DZIEN'!T33</f>
        <v>0</v>
      </c>
    </row>
    <row r="38" spans="4:8" ht="13.5" thickBot="1">
      <c r="D38" s="88">
        <v>33</v>
      </c>
      <c r="E38" s="89">
        <f>'II DZIEN'!H34</f>
        <v>2.0000000000000001E-4</v>
      </c>
      <c r="F38" s="90">
        <f>'II DZIEN'!I34</f>
        <v>20</v>
      </c>
      <c r="G38" s="90">
        <f>'II DZIEN'!J34</f>
        <v>0</v>
      </c>
      <c r="H38" s="90">
        <f>'II DZIEN'!T34</f>
        <v>0</v>
      </c>
    </row>
  </sheetData>
  <mergeCells count="1">
    <mergeCell ref="D3:H3"/>
  </mergeCells>
  <phoneticPr fontId="3" type="noConversion"/>
  <pageMargins left="1.02" right="0.39370078740157483" top="0.39370078740157483" bottom="0.39370078740157483" header="0.39370078740157483" footer="0.39370078740157483"/>
  <pageSetup paperSize="9" scale="145" orientation="portrait" horizontalDpi="4294967294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P40"/>
  <sheetViews>
    <sheetView showGridLines="0" workbookViewId="0">
      <selection activeCell="G7" sqref="G7"/>
    </sheetView>
  </sheetViews>
  <sheetFormatPr defaultRowHeight="12.75"/>
  <cols>
    <col min="1" max="1" width="12.85546875" bestFit="1" customWidth="1"/>
    <col min="2" max="2" width="26.85546875" customWidth="1"/>
    <col min="3" max="3" width="5.85546875" bestFit="1" customWidth="1"/>
    <col min="4" max="4" width="4.7109375" bestFit="1" customWidth="1"/>
    <col min="5" max="5" width="6" bestFit="1" customWidth="1"/>
    <col min="6" max="6" width="4.7109375" bestFit="1" customWidth="1"/>
    <col min="7" max="7" width="8.85546875" bestFit="1" customWidth="1"/>
    <col min="8" max="8" width="4.7109375" bestFit="1" customWidth="1"/>
    <col min="9" max="9" width="7" bestFit="1" customWidth="1"/>
    <col min="10" max="10" width="4.7109375" bestFit="1" customWidth="1"/>
    <col min="11" max="11" width="7.140625" bestFit="1" customWidth="1"/>
    <col min="12" max="12" width="4.7109375" bestFit="1" customWidth="1"/>
    <col min="13" max="14" width="9.28515625" bestFit="1" customWidth="1"/>
    <col min="15" max="15" width="9" customWidth="1"/>
    <col min="16" max="16" width="15.7109375" hidden="1" customWidth="1"/>
  </cols>
  <sheetData>
    <row r="1" spans="1:16">
      <c r="P1" t="str">
        <f>kolejka!A1:A40</f>
        <v>SP204 Warszawa</v>
      </c>
    </row>
    <row r="2" spans="1:16" ht="26.25" customHeight="1">
      <c r="C2" s="129" t="s">
        <v>2869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P2" t="str">
        <f>kolejka!A2:A41</f>
        <v>SP Podkowa Leśna</v>
      </c>
    </row>
    <row r="3" spans="1:16">
      <c r="P3" t="str">
        <f>kolejka!A3:A42</f>
        <v>SP2 Chorzele</v>
      </c>
    </row>
    <row r="4" spans="1:16">
      <c r="P4" t="str">
        <f>kolejka!A4:A43</f>
        <v>SP11 Siedlce</v>
      </c>
    </row>
    <row r="5" spans="1:16" ht="18">
      <c r="H5" s="133" t="s">
        <v>1701</v>
      </c>
      <c r="I5" s="133"/>
      <c r="J5" s="59">
        <f>MATCH($A$13,$P:$P,0)</f>
        <v>13</v>
      </c>
      <c r="P5" t="str">
        <f>kolejka!A5:A44</f>
        <v>SP2 Węgrów</v>
      </c>
    </row>
    <row r="6" spans="1:16">
      <c r="P6" t="str">
        <f>kolejka!A6:A45</f>
        <v>SP Bieniewice</v>
      </c>
    </row>
    <row r="7" spans="1:16">
      <c r="P7" t="str">
        <f>kolejka!A7:A46</f>
        <v>SP14 Warszawa</v>
      </c>
    </row>
    <row r="8" spans="1:16">
      <c r="P8" t="str">
        <f>kolejka!A8:A47</f>
        <v>ZSP Jedlińsk</v>
      </c>
    </row>
    <row r="9" spans="1:16">
      <c r="P9" t="str">
        <f>kolejka!A9:A48</f>
        <v>SP2 Ostrów Maz.</v>
      </c>
    </row>
    <row r="10" spans="1:16" ht="15"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P10" t="str">
        <f>kolejka!A10:A49</f>
        <v>SP3 Piaseczno</v>
      </c>
    </row>
    <row r="11" spans="1:16">
      <c r="P11" t="str">
        <f>kolejka!A11:A50</f>
        <v>PSP 2 Radom</v>
      </c>
    </row>
    <row r="12" spans="1:16" ht="13.5" thickBot="1">
      <c r="P12" t="str">
        <f>kolejka!A12:A51</f>
        <v>ZSP Lesznowola</v>
      </c>
    </row>
    <row r="13" spans="1:16" s="53" customFormat="1" ht="17.25" thickTop="1" thickBo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P13">
        <f>kolejka!A13:A52</f>
        <v>0</v>
      </c>
    </row>
    <row r="14" spans="1:16" ht="14.25" thickTop="1" thickBot="1">
      <c r="A14" s="52"/>
      <c r="B14" s="54"/>
      <c r="C14" s="52"/>
      <c r="D14" s="55"/>
      <c r="E14" s="52"/>
      <c r="F14" s="55"/>
      <c r="G14" s="52"/>
      <c r="H14" s="55"/>
      <c r="I14" s="52"/>
      <c r="J14" s="55"/>
      <c r="K14" s="52"/>
      <c r="L14" s="55"/>
      <c r="M14" s="57"/>
      <c r="N14" s="56"/>
      <c r="P14">
        <f>kolejka!A14:A53</f>
        <v>0</v>
      </c>
    </row>
    <row r="15" spans="1:16" ht="14.25" thickTop="1" thickBot="1">
      <c r="A15" s="55"/>
      <c r="B15" s="54"/>
      <c r="C15" s="52"/>
      <c r="D15" s="55"/>
      <c r="E15" s="52"/>
      <c r="F15" s="55"/>
      <c r="G15" s="52"/>
      <c r="H15" s="55"/>
      <c r="I15" s="52"/>
      <c r="J15" s="55"/>
      <c r="K15" s="52"/>
      <c r="L15" s="55"/>
      <c r="M15" s="57"/>
      <c r="N15" s="56"/>
      <c r="P15">
        <f>kolejka!A15:A54</f>
        <v>0</v>
      </c>
    </row>
    <row r="16" spans="1:16" ht="14.25" thickTop="1" thickBot="1">
      <c r="A16" s="55"/>
      <c r="B16" s="54"/>
      <c r="C16" s="52"/>
      <c r="D16" s="55"/>
      <c r="E16" s="52"/>
      <c r="F16" s="55"/>
      <c r="G16" s="52"/>
      <c r="H16" s="55"/>
      <c r="I16" s="52"/>
      <c r="J16" s="55"/>
      <c r="K16" s="52"/>
      <c r="L16" s="55"/>
      <c r="M16" s="57"/>
      <c r="N16" s="56"/>
      <c r="P16">
        <f>kolejka!A16:A55</f>
        <v>0</v>
      </c>
    </row>
    <row r="17" spans="1:16" ht="14.25" thickTop="1" thickBot="1">
      <c r="A17" s="52"/>
      <c r="B17" s="54"/>
      <c r="C17" s="52"/>
      <c r="D17" s="55"/>
      <c r="E17" s="52"/>
      <c r="F17" s="55"/>
      <c r="G17" s="52"/>
      <c r="H17" s="55"/>
      <c r="I17" s="52"/>
      <c r="J17" s="55"/>
      <c r="K17" s="52"/>
      <c r="L17" s="55"/>
      <c r="M17" s="57"/>
      <c r="N17" s="56"/>
      <c r="P17">
        <f>kolejka!A17:A56</f>
        <v>0</v>
      </c>
    </row>
    <row r="18" spans="1:16" ht="14.25" thickTop="1" thickBot="1">
      <c r="A18" s="52"/>
      <c r="B18" s="54"/>
      <c r="C18" s="52"/>
      <c r="D18" s="55"/>
      <c r="E18" s="52"/>
      <c r="F18" s="55"/>
      <c r="G18" s="52"/>
      <c r="H18" s="55"/>
      <c r="I18" s="52"/>
      <c r="J18" s="55"/>
      <c r="K18" s="52"/>
      <c r="L18" s="55"/>
      <c r="M18" s="57"/>
      <c r="N18" s="56"/>
      <c r="P18">
        <f>kolejka!A18:A57</f>
        <v>0</v>
      </c>
    </row>
    <row r="19" spans="1:16" ht="14.25" thickTop="1" thickBot="1">
      <c r="A19" s="52"/>
      <c r="B19" s="54"/>
      <c r="C19" s="52"/>
      <c r="D19" s="55"/>
      <c r="E19" s="52"/>
      <c r="F19" s="55"/>
      <c r="G19" s="52"/>
      <c r="H19" s="55"/>
      <c r="I19" s="52"/>
      <c r="J19" s="55"/>
      <c r="K19" s="52"/>
      <c r="L19" s="55"/>
      <c r="M19" s="57"/>
      <c r="N19" s="56"/>
      <c r="P19">
        <f>kolejka!A19:A58</f>
        <v>0</v>
      </c>
    </row>
    <row r="20" spans="1:16" ht="13.5" thickTop="1">
      <c r="P20">
        <f>kolejka!A20:A59</f>
        <v>0</v>
      </c>
    </row>
    <row r="21" spans="1:16">
      <c r="P21">
        <f>kolejka!A21:A60</f>
        <v>0</v>
      </c>
    </row>
    <row r="22" spans="1:16">
      <c r="P22">
        <f>kolejka!A22:A61</f>
        <v>0</v>
      </c>
    </row>
    <row r="23" spans="1:16">
      <c r="P23">
        <f>kolejka!A23:A62</f>
        <v>0</v>
      </c>
    </row>
    <row r="24" spans="1:16">
      <c r="P24">
        <f>kolejka!A24:A63</f>
        <v>0</v>
      </c>
    </row>
    <row r="25" spans="1:16">
      <c r="P25">
        <f>kolejka!A25:A64</f>
        <v>0</v>
      </c>
    </row>
    <row r="26" spans="1:16">
      <c r="N26" s="51"/>
      <c r="P26">
        <f>kolejka!A26:A65</f>
        <v>0</v>
      </c>
    </row>
    <row r="27" spans="1:16">
      <c r="P27">
        <f>kolejka!A27:A66</f>
        <v>0</v>
      </c>
    </row>
    <row r="28" spans="1:16">
      <c r="P28">
        <f>kolejka!A28:A67</f>
        <v>0</v>
      </c>
    </row>
    <row r="29" spans="1:16">
      <c r="P29">
        <f>kolejka!A29:A68</f>
        <v>0</v>
      </c>
    </row>
    <row r="30" spans="1:16">
      <c r="P30">
        <f>kolejka!A30:A69</f>
        <v>0</v>
      </c>
    </row>
    <row r="31" spans="1:16">
      <c r="P31">
        <f>kolejka!A31:A70</f>
        <v>0</v>
      </c>
    </row>
    <row r="32" spans="1:16">
      <c r="P32">
        <f>kolejka!A32:A71</f>
        <v>0</v>
      </c>
    </row>
    <row r="33" spans="16:16">
      <c r="P33">
        <f>kolejka!A33:A72</f>
        <v>0</v>
      </c>
    </row>
    <row r="34" spans="16:16">
      <c r="P34">
        <f>kolejka!A34:A73</f>
        <v>0</v>
      </c>
    </row>
    <row r="35" spans="16:16">
      <c r="P35">
        <f>kolejka!A35:A74</f>
        <v>0</v>
      </c>
    </row>
    <row r="36" spans="16:16">
      <c r="P36">
        <f>kolejka!A36:A75</f>
        <v>0</v>
      </c>
    </row>
    <row r="37" spans="16:16">
      <c r="P37">
        <f>kolejka!A37:A76</f>
        <v>0</v>
      </c>
    </row>
    <row r="38" spans="16:16">
      <c r="P38">
        <f>kolejka!A38:A77</f>
        <v>0</v>
      </c>
    </row>
    <row r="39" spans="16:16">
      <c r="P39">
        <f>kolejka!A39:A78</f>
        <v>0</v>
      </c>
    </row>
    <row r="40" spans="16:16">
      <c r="P40">
        <f>kolejka!A40:A79</f>
        <v>0</v>
      </c>
    </row>
  </sheetData>
  <sheetCalcPr fullCalcOnLoad="1"/>
  <mergeCells count="3">
    <mergeCell ref="C2:N2"/>
    <mergeCell ref="C10:N10"/>
    <mergeCell ref="H5:I5"/>
  </mergeCells>
  <phoneticPr fontId="3" type="noConversion"/>
  <pageMargins left="0.75" right="0.75" top="1" bottom="1" header="0.5" footer="0.5"/>
  <pageSetup paperSize="9" orientation="landscape" horizontalDpi="4294967294" verticalDpi="0" r:id="rId1"/>
  <headerFooter alignWithMargins="0">
    <oddHeader>&amp;L&amp;T&amp;CNadnotecki Szkolny Związek Sportowy&amp;R&amp;D</oddHeader>
    <oddFooter>Przygotował(a) Vader &amp;D&amp;RStrona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1"/>
  <dimension ref="A1:AP205"/>
  <sheetViews>
    <sheetView showGridLines="0" workbookViewId="0">
      <selection activeCell="C132" sqref="C132"/>
    </sheetView>
  </sheetViews>
  <sheetFormatPr defaultRowHeight="12.75"/>
  <sheetData>
    <row r="1" spans="1:42" ht="15">
      <c r="A1" s="1"/>
      <c r="B1" s="1" t="s">
        <v>1708</v>
      </c>
      <c r="C1" s="1" t="s">
        <v>1709</v>
      </c>
      <c r="D1" s="1" t="s">
        <v>1724</v>
      </c>
      <c r="E1" s="1" t="s">
        <v>1710</v>
      </c>
      <c r="F1" s="2" t="s">
        <v>1711</v>
      </c>
      <c r="G1" s="1" t="s">
        <v>1702</v>
      </c>
      <c r="H1" s="26"/>
      <c r="I1" s="1" t="s">
        <v>1712</v>
      </c>
      <c r="J1" s="2" t="s">
        <v>1711</v>
      </c>
      <c r="N1" s="3"/>
    </row>
    <row r="2" spans="1:42" ht="15.75" thickBot="1">
      <c r="A2" s="1"/>
      <c r="B2" s="1">
        <v>0</v>
      </c>
      <c r="C2" s="1">
        <v>0</v>
      </c>
      <c r="D2" s="1">
        <v>0</v>
      </c>
      <c r="E2" s="1">
        <v>0</v>
      </c>
      <c r="F2" s="2">
        <v>0</v>
      </c>
      <c r="H2" s="19">
        <v>0</v>
      </c>
      <c r="I2">
        <v>0</v>
      </c>
      <c r="J2" s="2">
        <v>0</v>
      </c>
      <c r="N2" s="3" t="s">
        <v>1725</v>
      </c>
      <c r="P2" t="s">
        <v>1726</v>
      </c>
    </row>
    <row r="3" spans="1:42" ht="34.5" thickBot="1">
      <c r="B3" s="3">
        <v>210</v>
      </c>
      <c r="C3" s="3">
        <v>13</v>
      </c>
      <c r="D3" s="122">
        <v>-245.35</v>
      </c>
      <c r="E3" s="4">
        <v>-12.75</v>
      </c>
      <c r="F3" s="5">
        <v>1</v>
      </c>
      <c r="H3" s="19">
        <v>77</v>
      </c>
      <c r="I3">
        <v>179</v>
      </c>
      <c r="J3" s="5">
        <v>200</v>
      </c>
      <c r="L3" t="s">
        <v>1727</v>
      </c>
      <c r="N3" s="3">
        <v>210</v>
      </c>
      <c r="P3" s="27">
        <v>245.35</v>
      </c>
      <c r="Q3">
        <v>-1</v>
      </c>
      <c r="S3" s="19" t="s">
        <v>1728</v>
      </c>
      <c r="U3" s="34" t="s">
        <v>2063</v>
      </c>
      <c r="V3" s="35" t="s">
        <v>2064</v>
      </c>
      <c r="W3" s="35" t="s">
        <v>2065</v>
      </c>
      <c r="X3" s="35" t="s">
        <v>2066</v>
      </c>
      <c r="Y3" s="35" t="s">
        <v>2067</v>
      </c>
      <c r="Z3" s="35" t="s">
        <v>2068</v>
      </c>
      <c r="AA3" s="35" t="s">
        <v>2069</v>
      </c>
      <c r="AB3" s="35" t="s">
        <v>1724</v>
      </c>
      <c r="AC3" s="36" t="s">
        <v>2070</v>
      </c>
      <c r="AD3" s="36" t="s">
        <v>2071</v>
      </c>
      <c r="AE3" s="36" t="s">
        <v>2072</v>
      </c>
      <c r="AF3" s="36" t="s">
        <v>2071</v>
      </c>
      <c r="AG3" s="36" t="s">
        <v>2073</v>
      </c>
      <c r="AH3" s="36" t="s">
        <v>2074</v>
      </c>
      <c r="AI3" s="36" t="s">
        <v>2075</v>
      </c>
      <c r="AJ3" s="36" t="s">
        <v>2076</v>
      </c>
      <c r="AK3" s="36" t="s">
        <v>2077</v>
      </c>
      <c r="AL3" s="36" t="s">
        <v>2078</v>
      </c>
      <c r="AM3" s="36" t="s">
        <v>2079</v>
      </c>
      <c r="AN3" s="36" t="s">
        <v>2080</v>
      </c>
      <c r="AO3" s="36" t="s">
        <v>2081</v>
      </c>
      <c r="AP3" s="36" t="s">
        <v>2063</v>
      </c>
    </row>
    <row r="4" spans="1:42" ht="13.5" thickBot="1">
      <c r="B4" s="3">
        <v>225</v>
      </c>
      <c r="C4" s="3">
        <v>13.5</v>
      </c>
      <c r="D4" s="122">
        <v>-244.35</v>
      </c>
      <c r="E4" s="4">
        <v>-12.62</v>
      </c>
      <c r="F4" s="5">
        <v>2</v>
      </c>
      <c r="H4" s="19">
        <v>76.5</v>
      </c>
      <c r="I4">
        <v>178</v>
      </c>
      <c r="J4" s="5">
        <v>199</v>
      </c>
      <c r="L4" s="27" t="s">
        <v>1729</v>
      </c>
      <c r="N4" s="3">
        <v>225</v>
      </c>
      <c r="P4" s="27">
        <v>244.35</v>
      </c>
      <c r="Q4">
        <v>-1</v>
      </c>
      <c r="S4" s="19" t="s">
        <v>1730</v>
      </c>
      <c r="U4" s="37">
        <v>200</v>
      </c>
      <c r="V4" s="27" t="s">
        <v>2082</v>
      </c>
      <c r="W4" s="27"/>
      <c r="X4" s="27" t="s">
        <v>2083</v>
      </c>
      <c r="Y4" s="27"/>
      <c r="Z4" s="27" t="s">
        <v>2084</v>
      </c>
      <c r="AA4" s="27" t="s">
        <v>2085</v>
      </c>
      <c r="AB4" s="27" t="s">
        <v>2086</v>
      </c>
      <c r="AC4" s="27" t="s">
        <v>2087</v>
      </c>
      <c r="AD4" s="27" t="s">
        <v>2088</v>
      </c>
      <c r="AE4" s="27" t="s">
        <v>2087</v>
      </c>
      <c r="AF4" s="27" t="s">
        <v>2088</v>
      </c>
      <c r="AG4" s="27" t="s">
        <v>2089</v>
      </c>
      <c r="AH4" s="27" t="s">
        <v>2090</v>
      </c>
      <c r="AI4" s="27" t="s">
        <v>2091</v>
      </c>
      <c r="AJ4" s="27" t="s">
        <v>2092</v>
      </c>
      <c r="AK4" s="27" t="s">
        <v>2093</v>
      </c>
      <c r="AL4" s="27" t="s">
        <v>2094</v>
      </c>
      <c r="AM4" s="27" t="s">
        <v>2095</v>
      </c>
      <c r="AN4" s="27" t="s">
        <v>2096</v>
      </c>
      <c r="AO4" s="27">
        <v>77</v>
      </c>
      <c r="AP4" s="27">
        <v>200</v>
      </c>
    </row>
    <row r="5" spans="1:42" ht="13.5" thickBot="1">
      <c r="B5" s="3">
        <v>235</v>
      </c>
      <c r="C5" s="3">
        <v>14</v>
      </c>
      <c r="D5" s="122">
        <v>-243.35</v>
      </c>
      <c r="E5" s="4">
        <v>-12.5</v>
      </c>
      <c r="F5" s="5">
        <v>3</v>
      </c>
      <c r="H5" s="19"/>
      <c r="I5">
        <v>177</v>
      </c>
      <c r="J5" s="5">
        <v>198</v>
      </c>
      <c r="L5" s="27" t="s">
        <v>1731</v>
      </c>
      <c r="N5" s="3">
        <v>235</v>
      </c>
      <c r="P5" s="27">
        <v>243.35</v>
      </c>
      <c r="Q5">
        <v>-1</v>
      </c>
      <c r="S5" s="19"/>
      <c r="U5" s="37">
        <v>199</v>
      </c>
      <c r="V5" s="27" t="s">
        <v>2097</v>
      </c>
      <c r="W5" s="27"/>
      <c r="X5" s="27" t="s">
        <v>2098</v>
      </c>
      <c r="Y5" s="27"/>
      <c r="Z5" s="27" t="s">
        <v>2099</v>
      </c>
      <c r="AA5" s="27" t="s">
        <v>2100</v>
      </c>
      <c r="AB5" s="27" t="s">
        <v>2101</v>
      </c>
      <c r="AC5" s="27" t="s">
        <v>2102</v>
      </c>
      <c r="AD5" s="27"/>
      <c r="AE5" s="27" t="s">
        <v>2102</v>
      </c>
      <c r="AF5" s="27"/>
      <c r="AG5" s="27" t="s">
        <v>2103</v>
      </c>
      <c r="AH5" s="27" t="s">
        <v>2104</v>
      </c>
      <c r="AI5" s="27" t="s">
        <v>2105</v>
      </c>
      <c r="AJ5" s="27" t="s">
        <v>2106</v>
      </c>
      <c r="AK5" s="27" t="s">
        <v>2107</v>
      </c>
      <c r="AL5" s="27" t="s">
        <v>2102</v>
      </c>
      <c r="AM5" s="27" t="s">
        <v>2108</v>
      </c>
      <c r="AN5" s="27" t="s">
        <v>2109</v>
      </c>
      <c r="AO5" s="27">
        <v>76.5</v>
      </c>
      <c r="AP5" s="27">
        <v>199</v>
      </c>
    </row>
    <row r="6" spans="1:42" ht="13.5" thickBot="1">
      <c r="B6" s="3">
        <v>240</v>
      </c>
      <c r="C6" s="3">
        <v>14.5</v>
      </c>
      <c r="D6" s="122">
        <v>-242.65</v>
      </c>
      <c r="E6" s="4">
        <v>-12.4</v>
      </c>
      <c r="F6" s="5">
        <v>4</v>
      </c>
      <c r="H6" s="19">
        <v>76</v>
      </c>
      <c r="J6" s="5">
        <v>197</v>
      </c>
      <c r="L6" s="27" t="s">
        <v>1732</v>
      </c>
      <c r="N6" s="3">
        <v>240</v>
      </c>
      <c r="P6" s="27">
        <v>242.65</v>
      </c>
      <c r="Q6">
        <v>-1</v>
      </c>
      <c r="S6" s="19" t="s">
        <v>1733</v>
      </c>
      <c r="U6" s="37">
        <v>198</v>
      </c>
      <c r="V6" s="27" t="s">
        <v>2110</v>
      </c>
      <c r="W6" s="27"/>
      <c r="X6" s="27" t="s">
        <v>2111</v>
      </c>
      <c r="Y6" s="27"/>
      <c r="Z6" s="27" t="s">
        <v>2112</v>
      </c>
      <c r="AA6" s="27" t="s">
        <v>2113</v>
      </c>
      <c r="AB6" s="27" t="s">
        <v>2114</v>
      </c>
      <c r="AC6" s="27" t="s">
        <v>2115</v>
      </c>
      <c r="AD6" s="27" t="s">
        <v>2116</v>
      </c>
      <c r="AE6" s="27" t="s">
        <v>2115</v>
      </c>
      <c r="AF6" s="27" t="s">
        <v>2116</v>
      </c>
      <c r="AG6" s="27" t="s">
        <v>2117</v>
      </c>
      <c r="AH6" s="27" t="s">
        <v>2118</v>
      </c>
      <c r="AI6" s="27" t="s">
        <v>2119</v>
      </c>
      <c r="AJ6" s="27" t="s">
        <v>2120</v>
      </c>
      <c r="AK6" s="27" t="s">
        <v>2121</v>
      </c>
      <c r="AL6" s="27" t="s">
        <v>2122</v>
      </c>
      <c r="AM6" s="27" t="s">
        <v>2123</v>
      </c>
      <c r="AN6" s="27" t="s">
        <v>2124</v>
      </c>
      <c r="AO6" s="27"/>
      <c r="AP6" s="27">
        <v>198</v>
      </c>
    </row>
    <row r="7" spans="1:42" ht="13.5" thickBot="1">
      <c r="B7" s="3">
        <v>245.00000000000003</v>
      </c>
      <c r="C7" s="3">
        <v>15</v>
      </c>
      <c r="D7" s="122">
        <v>-241.85</v>
      </c>
      <c r="E7" s="4">
        <v>-12.3</v>
      </c>
      <c r="F7" s="5">
        <v>5</v>
      </c>
      <c r="H7" s="19"/>
      <c r="I7">
        <v>176</v>
      </c>
      <c r="J7" s="5">
        <v>196</v>
      </c>
      <c r="L7" s="27" t="s">
        <v>1734</v>
      </c>
      <c r="N7" s="3">
        <v>245</v>
      </c>
      <c r="P7" s="27">
        <v>241.85</v>
      </c>
      <c r="Q7">
        <v>-1</v>
      </c>
      <c r="S7" s="19"/>
      <c r="U7" s="37">
        <v>197</v>
      </c>
      <c r="V7" s="27" t="s">
        <v>2125</v>
      </c>
      <c r="W7" s="27"/>
      <c r="X7" s="27" t="s">
        <v>2126</v>
      </c>
      <c r="Y7" s="27" t="s">
        <v>2127</v>
      </c>
      <c r="Z7" s="27" t="s">
        <v>2128</v>
      </c>
      <c r="AA7" s="27"/>
      <c r="AB7" s="27" t="s">
        <v>2129</v>
      </c>
      <c r="AC7" s="27" t="s">
        <v>2130</v>
      </c>
      <c r="AD7" s="27"/>
      <c r="AE7" s="27" t="s">
        <v>2130</v>
      </c>
      <c r="AF7" s="27"/>
      <c r="AG7" s="27" t="s">
        <v>2131</v>
      </c>
      <c r="AH7" s="27" t="s">
        <v>2132</v>
      </c>
      <c r="AI7" s="27"/>
      <c r="AJ7" s="27" t="s">
        <v>2133</v>
      </c>
      <c r="AK7" s="27" t="s">
        <v>2134</v>
      </c>
      <c r="AL7" s="27" t="s">
        <v>2135</v>
      </c>
      <c r="AM7" s="27" t="s">
        <v>2136</v>
      </c>
      <c r="AN7" s="27" t="s">
        <v>2137</v>
      </c>
      <c r="AO7" s="27">
        <v>76</v>
      </c>
      <c r="AP7" s="27">
        <v>197</v>
      </c>
    </row>
    <row r="8" spans="1:42" ht="13.5" thickBot="1">
      <c r="B8" s="3">
        <v>250</v>
      </c>
      <c r="C8" s="3">
        <v>15.5</v>
      </c>
      <c r="D8" s="122">
        <v>-241.05</v>
      </c>
      <c r="E8" s="4">
        <v>-12.2</v>
      </c>
      <c r="F8" s="5">
        <v>6</v>
      </c>
      <c r="G8">
        <v>-7.2</v>
      </c>
      <c r="H8" s="19">
        <v>75.5</v>
      </c>
      <c r="J8" s="5">
        <v>195</v>
      </c>
      <c r="L8" s="27" t="s">
        <v>1735</v>
      </c>
      <c r="N8" s="3">
        <v>250</v>
      </c>
      <c r="P8" s="27">
        <v>241.05</v>
      </c>
      <c r="Q8">
        <v>-1</v>
      </c>
      <c r="S8" s="19" t="s">
        <v>1736</v>
      </c>
      <c r="U8" s="37">
        <v>196</v>
      </c>
      <c r="V8" s="27" t="s">
        <v>2138</v>
      </c>
      <c r="W8" s="27"/>
      <c r="X8" s="27" t="s">
        <v>2139</v>
      </c>
      <c r="Y8" s="27"/>
      <c r="Z8" s="27" t="s">
        <v>2140</v>
      </c>
      <c r="AA8" s="27" t="s">
        <v>2141</v>
      </c>
      <c r="AB8" s="27" t="s">
        <v>2142</v>
      </c>
      <c r="AC8" s="27" t="s">
        <v>2143</v>
      </c>
      <c r="AD8" s="27" t="s">
        <v>2144</v>
      </c>
      <c r="AE8" s="27" t="s">
        <v>2143</v>
      </c>
      <c r="AF8" s="27" t="s">
        <v>2144</v>
      </c>
      <c r="AG8" s="27" t="s">
        <v>2145</v>
      </c>
      <c r="AH8" s="27" t="s">
        <v>2146</v>
      </c>
      <c r="AI8" s="27" t="s">
        <v>2147</v>
      </c>
      <c r="AJ8" s="27" t="s">
        <v>2148</v>
      </c>
      <c r="AK8" s="27" t="s">
        <v>2149</v>
      </c>
      <c r="AL8" s="27" t="s">
        <v>2150</v>
      </c>
      <c r="AM8" s="27" t="s">
        <v>2151</v>
      </c>
      <c r="AN8" s="27" t="s">
        <v>2152</v>
      </c>
      <c r="AO8" s="27"/>
      <c r="AP8" s="27">
        <v>196</v>
      </c>
    </row>
    <row r="9" spans="1:42" ht="13.5" thickBot="1">
      <c r="B9" s="3">
        <v>254.99999999999997</v>
      </c>
      <c r="C9" s="3">
        <v>16</v>
      </c>
      <c r="D9" s="122">
        <v>-240.25</v>
      </c>
      <c r="E9" s="4">
        <v>-12.12</v>
      </c>
      <c r="F9" s="5">
        <v>7</v>
      </c>
      <c r="H9" s="19"/>
      <c r="I9">
        <v>175</v>
      </c>
      <c r="J9" s="5">
        <v>194</v>
      </c>
      <c r="L9" s="27" t="s">
        <v>1737</v>
      </c>
      <c r="N9" s="3">
        <v>255</v>
      </c>
      <c r="P9" s="27">
        <v>240.25</v>
      </c>
      <c r="Q9">
        <v>-1</v>
      </c>
      <c r="S9" s="19"/>
      <c r="U9" s="37">
        <v>195</v>
      </c>
      <c r="V9" s="27" t="s">
        <v>2153</v>
      </c>
      <c r="W9" s="27" t="s">
        <v>2154</v>
      </c>
      <c r="X9" s="27" t="s">
        <v>2155</v>
      </c>
      <c r="Y9" s="27"/>
      <c r="Z9" s="27" t="s">
        <v>2156</v>
      </c>
      <c r="AA9" s="27" t="s">
        <v>2157</v>
      </c>
      <c r="AB9" s="27" t="s">
        <v>2158</v>
      </c>
      <c r="AC9" s="27" t="s">
        <v>2159</v>
      </c>
      <c r="AD9" s="27"/>
      <c r="AE9" s="27" t="s">
        <v>2159</v>
      </c>
      <c r="AF9" s="27"/>
      <c r="AG9" s="27" t="s">
        <v>2160</v>
      </c>
      <c r="AH9" s="27"/>
      <c r="AI9" s="27"/>
      <c r="AJ9" s="27" t="s">
        <v>2161</v>
      </c>
      <c r="AK9" s="27" t="s">
        <v>2162</v>
      </c>
      <c r="AL9" s="27" t="s">
        <v>2093</v>
      </c>
      <c r="AM9" s="27" t="s">
        <v>2163</v>
      </c>
      <c r="AN9" s="27" t="s">
        <v>2164</v>
      </c>
      <c r="AO9" s="27">
        <v>75.5</v>
      </c>
      <c r="AP9" s="27">
        <v>195</v>
      </c>
    </row>
    <row r="10" spans="1:42" ht="13.5" thickBot="1">
      <c r="B10" s="3">
        <v>259</v>
      </c>
      <c r="C10" s="3">
        <v>16.5</v>
      </c>
      <c r="D10" s="122">
        <v>-239.45</v>
      </c>
      <c r="E10" s="4">
        <v>-12.04</v>
      </c>
      <c r="F10" s="5">
        <v>8</v>
      </c>
      <c r="H10" s="19">
        <v>75</v>
      </c>
      <c r="J10" s="5">
        <v>193</v>
      </c>
      <c r="L10" s="27" t="s">
        <v>1738</v>
      </c>
      <c r="N10" s="3">
        <v>259</v>
      </c>
      <c r="P10" s="27">
        <v>239.45</v>
      </c>
      <c r="Q10">
        <v>-1</v>
      </c>
      <c r="S10" s="19" t="s">
        <v>1739</v>
      </c>
      <c r="U10" s="37">
        <v>194</v>
      </c>
      <c r="V10" s="27" t="s">
        <v>2165</v>
      </c>
      <c r="W10" s="27"/>
      <c r="X10" s="27" t="s">
        <v>2166</v>
      </c>
      <c r="Y10" s="27"/>
      <c r="Z10" s="27" t="s">
        <v>2167</v>
      </c>
      <c r="AA10" s="27"/>
      <c r="AB10" s="27" t="s">
        <v>2168</v>
      </c>
      <c r="AC10" s="27" t="s">
        <v>2169</v>
      </c>
      <c r="AD10" s="27"/>
      <c r="AE10" s="27" t="s">
        <v>2169</v>
      </c>
      <c r="AF10" s="27"/>
      <c r="AG10" s="27" t="s">
        <v>2170</v>
      </c>
      <c r="AH10" s="27" t="s">
        <v>2171</v>
      </c>
      <c r="AI10" s="27" t="s">
        <v>2172</v>
      </c>
      <c r="AJ10" s="27" t="s">
        <v>2173</v>
      </c>
      <c r="AK10" s="27" t="s">
        <v>2174</v>
      </c>
      <c r="AL10" s="27" t="s">
        <v>2107</v>
      </c>
      <c r="AM10" s="27" t="s">
        <v>2175</v>
      </c>
      <c r="AN10" s="27" t="s">
        <v>2176</v>
      </c>
      <c r="AO10" s="27"/>
      <c r="AP10" s="27">
        <v>194</v>
      </c>
    </row>
    <row r="11" spans="1:42" ht="13.5" thickBot="1">
      <c r="B11" s="3">
        <v>263</v>
      </c>
      <c r="C11" s="3">
        <v>17</v>
      </c>
      <c r="D11" s="122">
        <v>-238.65</v>
      </c>
      <c r="E11" s="4">
        <v>-11.96</v>
      </c>
      <c r="F11" s="5">
        <v>9</v>
      </c>
      <c r="H11" s="19">
        <v>74.5</v>
      </c>
      <c r="I11">
        <v>174</v>
      </c>
      <c r="J11" s="5">
        <v>192</v>
      </c>
      <c r="L11" s="27" t="s">
        <v>1740</v>
      </c>
      <c r="N11" s="3">
        <v>263</v>
      </c>
      <c r="P11" s="27">
        <v>238.65</v>
      </c>
      <c r="Q11">
        <v>-1</v>
      </c>
      <c r="S11" s="19" t="s">
        <v>1741</v>
      </c>
      <c r="U11" s="37">
        <v>193</v>
      </c>
      <c r="V11" s="27" t="s">
        <v>2177</v>
      </c>
      <c r="W11" s="27"/>
      <c r="X11" s="27" t="s">
        <v>2178</v>
      </c>
      <c r="Y11" s="27"/>
      <c r="Z11" s="27" t="s">
        <v>2179</v>
      </c>
      <c r="AA11" s="27" t="s">
        <v>2180</v>
      </c>
      <c r="AB11" s="27" t="s">
        <v>2181</v>
      </c>
      <c r="AC11" s="27" t="s">
        <v>2182</v>
      </c>
      <c r="AD11" s="27" t="s">
        <v>2183</v>
      </c>
      <c r="AE11" s="27" t="s">
        <v>2182</v>
      </c>
      <c r="AF11" s="27" t="s">
        <v>2183</v>
      </c>
      <c r="AG11" s="27" t="s">
        <v>2109</v>
      </c>
      <c r="AH11" s="27" t="s">
        <v>2184</v>
      </c>
      <c r="AI11" s="27"/>
      <c r="AJ11" s="27" t="s">
        <v>2185</v>
      </c>
      <c r="AK11" s="27" t="s">
        <v>2186</v>
      </c>
      <c r="AL11" s="27" t="s">
        <v>2121</v>
      </c>
      <c r="AM11" s="27" t="s">
        <v>2187</v>
      </c>
      <c r="AN11" s="27" t="s">
        <v>2188</v>
      </c>
      <c r="AO11" s="27">
        <v>75</v>
      </c>
      <c r="AP11" s="27">
        <v>193</v>
      </c>
    </row>
    <row r="12" spans="1:42" ht="13.5" thickBot="1">
      <c r="B12" s="3">
        <v>267</v>
      </c>
      <c r="C12" s="3">
        <v>17.5</v>
      </c>
      <c r="D12" s="122">
        <v>-237.85</v>
      </c>
      <c r="E12" s="4">
        <v>-11.88</v>
      </c>
      <c r="F12" s="5">
        <v>10</v>
      </c>
      <c r="H12" s="19"/>
      <c r="J12" s="5">
        <v>191</v>
      </c>
      <c r="L12" s="27" t="s">
        <v>1742</v>
      </c>
      <c r="N12" s="3">
        <v>267</v>
      </c>
      <c r="P12" s="27">
        <v>237.85</v>
      </c>
      <c r="Q12">
        <v>-1</v>
      </c>
      <c r="S12" s="19"/>
      <c r="U12" s="37">
        <v>192</v>
      </c>
      <c r="V12" s="27" t="s">
        <v>2189</v>
      </c>
      <c r="W12" s="27"/>
      <c r="X12" s="27" t="s">
        <v>2190</v>
      </c>
      <c r="Y12" s="27" t="s">
        <v>2191</v>
      </c>
      <c r="Z12" s="27" t="s">
        <v>2192</v>
      </c>
      <c r="AA12" s="27" t="s">
        <v>2193</v>
      </c>
      <c r="AB12" s="27" t="s">
        <v>2194</v>
      </c>
      <c r="AC12" s="27" t="s">
        <v>2195</v>
      </c>
      <c r="AD12" s="27"/>
      <c r="AE12" s="27" t="s">
        <v>2195</v>
      </c>
      <c r="AF12" s="27"/>
      <c r="AG12" s="27" t="s">
        <v>2196</v>
      </c>
      <c r="AH12" s="27" t="s">
        <v>2197</v>
      </c>
      <c r="AI12" s="27" t="s">
        <v>2198</v>
      </c>
      <c r="AJ12" s="27" t="s">
        <v>2199</v>
      </c>
      <c r="AK12" s="27" t="s">
        <v>2200</v>
      </c>
      <c r="AL12" s="27" t="s">
        <v>2134</v>
      </c>
      <c r="AM12" s="27" t="s">
        <v>2201</v>
      </c>
      <c r="AN12" s="27" t="s">
        <v>2202</v>
      </c>
      <c r="AO12" s="27">
        <v>74.5</v>
      </c>
      <c r="AP12" s="27">
        <v>192</v>
      </c>
    </row>
    <row r="13" spans="1:42" ht="13.5" thickBot="1">
      <c r="B13" s="3">
        <v>271</v>
      </c>
      <c r="C13" s="3">
        <v>18</v>
      </c>
      <c r="D13" s="122">
        <v>-237.05</v>
      </c>
      <c r="E13" s="4">
        <v>-11.8</v>
      </c>
      <c r="F13" s="5">
        <v>11</v>
      </c>
      <c r="H13" s="19">
        <v>74</v>
      </c>
      <c r="J13" s="5">
        <v>190</v>
      </c>
      <c r="L13" s="27" t="s">
        <v>1743</v>
      </c>
      <c r="N13" s="3">
        <v>271</v>
      </c>
      <c r="P13" s="27">
        <v>237.05</v>
      </c>
      <c r="Q13">
        <v>-1</v>
      </c>
      <c r="S13" s="19" t="s">
        <v>1744</v>
      </c>
      <c r="U13" s="37">
        <v>191</v>
      </c>
      <c r="V13" s="27" t="s">
        <v>2203</v>
      </c>
      <c r="W13" s="27"/>
      <c r="X13" s="27" t="s">
        <v>2204</v>
      </c>
      <c r="Y13" s="27"/>
      <c r="Z13" s="27" t="s">
        <v>2205</v>
      </c>
      <c r="AA13" s="27" t="s">
        <v>2206</v>
      </c>
      <c r="AB13" s="27" t="s">
        <v>2207</v>
      </c>
      <c r="AC13" s="27" t="s">
        <v>2208</v>
      </c>
      <c r="AD13" s="27" t="s">
        <v>2209</v>
      </c>
      <c r="AE13" s="27" t="s">
        <v>2208</v>
      </c>
      <c r="AF13" s="27" t="s">
        <v>2209</v>
      </c>
      <c r="AG13" s="27" t="s">
        <v>2210</v>
      </c>
      <c r="AH13" s="27" t="s">
        <v>2211</v>
      </c>
      <c r="AI13" s="27"/>
      <c r="AJ13" s="27" t="s">
        <v>2212</v>
      </c>
      <c r="AK13" s="27" t="s">
        <v>2213</v>
      </c>
      <c r="AL13" s="27" t="s">
        <v>2149</v>
      </c>
      <c r="AM13" s="27" t="s">
        <v>2214</v>
      </c>
      <c r="AN13" s="27" t="s">
        <v>2215</v>
      </c>
      <c r="AO13" s="27"/>
      <c r="AP13" s="27">
        <v>191</v>
      </c>
    </row>
    <row r="14" spans="1:42" ht="13.5" thickBot="1">
      <c r="B14" s="3">
        <v>274</v>
      </c>
      <c r="C14" s="3">
        <v>18.5</v>
      </c>
      <c r="D14" s="122">
        <v>-236.25</v>
      </c>
      <c r="E14" s="4">
        <v>-11.72</v>
      </c>
      <c r="F14" s="5">
        <v>12</v>
      </c>
      <c r="H14" s="19"/>
      <c r="I14">
        <v>173</v>
      </c>
      <c r="J14" s="5">
        <v>189</v>
      </c>
      <c r="L14" s="27" t="s">
        <v>1745</v>
      </c>
      <c r="N14" s="3">
        <v>274</v>
      </c>
      <c r="P14" s="27">
        <v>236.25</v>
      </c>
      <c r="Q14">
        <v>-1</v>
      </c>
      <c r="S14" s="19"/>
      <c r="U14" s="37">
        <v>190</v>
      </c>
      <c r="V14" s="27" t="s">
        <v>2216</v>
      </c>
      <c r="W14" s="27"/>
      <c r="X14" s="27" t="s">
        <v>2217</v>
      </c>
      <c r="Y14" s="27"/>
      <c r="Z14" s="27" t="s">
        <v>2218</v>
      </c>
      <c r="AA14" s="27"/>
      <c r="AB14" s="27" t="s">
        <v>2219</v>
      </c>
      <c r="AC14" s="27" t="s">
        <v>2220</v>
      </c>
      <c r="AD14" s="27"/>
      <c r="AE14" s="27" t="s">
        <v>2220</v>
      </c>
      <c r="AF14" s="27"/>
      <c r="AG14" s="27" t="s">
        <v>2221</v>
      </c>
      <c r="AH14" s="27" t="s">
        <v>2222</v>
      </c>
      <c r="AI14" s="27"/>
      <c r="AJ14" s="27" t="s">
        <v>2223</v>
      </c>
      <c r="AK14" s="27" t="s">
        <v>2224</v>
      </c>
      <c r="AL14" s="27" t="s">
        <v>2162</v>
      </c>
      <c r="AM14" s="27" t="s">
        <v>2225</v>
      </c>
      <c r="AN14" s="27" t="s">
        <v>2226</v>
      </c>
      <c r="AO14" s="27">
        <v>74</v>
      </c>
      <c r="AP14" s="27">
        <v>190</v>
      </c>
    </row>
    <row r="15" spans="1:42" ht="13.5" thickBot="1">
      <c r="B15" s="3">
        <v>277</v>
      </c>
      <c r="C15" s="3">
        <v>19</v>
      </c>
      <c r="D15" s="122">
        <v>-235.45</v>
      </c>
      <c r="E15" s="4">
        <v>-11.64</v>
      </c>
      <c r="F15" s="5">
        <v>13</v>
      </c>
      <c r="H15" s="19">
        <v>73.5</v>
      </c>
      <c r="J15" s="5">
        <v>188</v>
      </c>
      <c r="L15" s="27" t="s">
        <v>1746</v>
      </c>
      <c r="N15" s="3">
        <v>277</v>
      </c>
      <c r="P15" s="27">
        <v>235.45</v>
      </c>
      <c r="Q15">
        <v>-1</v>
      </c>
      <c r="S15" s="19" t="s">
        <v>1747</v>
      </c>
      <c r="U15" s="37">
        <v>189</v>
      </c>
      <c r="V15" s="27" t="s">
        <v>2227</v>
      </c>
      <c r="W15" s="27"/>
      <c r="X15" s="27" t="s">
        <v>2228</v>
      </c>
      <c r="Y15" s="27"/>
      <c r="Z15" s="27" t="s">
        <v>2229</v>
      </c>
      <c r="AA15" s="27" t="s">
        <v>2230</v>
      </c>
      <c r="AB15" s="27" t="s">
        <v>2231</v>
      </c>
      <c r="AC15" s="27" t="s">
        <v>2232</v>
      </c>
      <c r="AD15" s="27"/>
      <c r="AE15" s="27" t="s">
        <v>2232</v>
      </c>
      <c r="AF15" s="27"/>
      <c r="AG15" s="27" t="s">
        <v>2233</v>
      </c>
      <c r="AH15" s="27" t="s">
        <v>2234</v>
      </c>
      <c r="AI15" s="27" t="s">
        <v>2235</v>
      </c>
      <c r="AJ15" s="27" t="s">
        <v>2236</v>
      </c>
      <c r="AK15" s="27" t="s">
        <v>2237</v>
      </c>
      <c r="AL15" s="27" t="s">
        <v>2174</v>
      </c>
      <c r="AM15" s="27" t="s">
        <v>2238</v>
      </c>
      <c r="AN15" s="27" t="s">
        <v>2239</v>
      </c>
      <c r="AO15" s="27"/>
      <c r="AP15" s="27">
        <v>189</v>
      </c>
    </row>
    <row r="16" spans="1:42" ht="13.5" thickBot="1">
      <c r="B16" s="3">
        <v>280</v>
      </c>
      <c r="C16" s="3">
        <v>19.5</v>
      </c>
      <c r="D16" s="122">
        <v>-234.65</v>
      </c>
      <c r="E16" s="4">
        <v>-11.56</v>
      </c>
      <c r="F16" s="5">
        <v>14</v>
      </c>
      <c r="G16">
        <v>-7.3</v>
      </c>
      <c r="H16" s="19"/>
      <c r="I16">
        <v>172</v>
      </c>
      <c r="J16" s="5">
        <v>187</v>
      </c>
      <c r="L16" s="27" t="s">
        <v>1748</v>
      </c>
      <c r="N16" s="3">
        <v>280</v>
      </c>
      <c r="P16" s="27">
        <v>234.65</v>
      </c>
      <c r="Q16">
        <v>-1</v>
      </c>
      <c r="S16" s="19"/>
      <c r="U16" s="37">
        <v>188</v>
      </c>
      <c r="V16" s="27" t="s">
        <v>2240</v>
      </c>
      <c r="W16" s="27"/>
      <c r="X16" s="27" t="s">
        <v>2241</v>
      </c>
      <c r="Y16" s="27" t="s">
        <v>2242</v>
      </c>
      <c r="Z16" s="27" t="s">
        <v>2243</v>
      </c>
      <c r="AA16" s="27" t="s">
        <v>2244</v>
      </c>
      <c r="AB16" s="27" t="s">
        <v>2245</v>
      </c>
      <c r="AC16" s="27" t="s">
        <v>2246</v>
      </c>
      <c r="AD16" s="27" t="s">
        <v>2247</v>
      </c>
      <c r="AE16" s="27" t="s">
        <v>2246</v>
      </c>
      <c r="AF16" s="27" t="s">
        <v>2247</v>
      </c>
      <c r="AG16" s="27" t="s">
        <v>2248</v>
      </c>
      <c r="AH16" s="27" t="s">
        <v>2249</v>
      </c>
      <c r="AI16" s="27"/>
      <c r="AJ16" s="27" t="s">
        <v>2250</v>
      </c>
      <c r="AK16" s="27" t="s">
        <v>2251</v>
      </c>
      <c r="AL16" s="27" t="s">
        <v>2186</v>
      </c>
      <c r="AM16" s="27" t="s">
        <v>2252</v>
      </c>
      <c r="AN16" s="27" t="s">
        <v>2253</v>
      </c>
      <c r="AO16" s="27">
        <v>73.5</v>
      </c>
      <c r="AP16" s="27">
        <v>188</v>
      </c>
    </row>
    <row r="17" spans="2:42" ht="13.5" thickBot="1">
      <c r="B17" s="3">
        <v>283</v>
      </c>
      <c r="C17" s="3">
        <v>20</v>
      </c>
      <c r="D17" s="122">
        <v>-233.85</v>
      </c>
      <c r="E17" s="4">
        <v>-11.49</v>
      </c>
      <c r="F17" s="5">
        <v>15</v>
      </c>
      <c r="H17" s="19">
        <v>73</v>
      </c>
      <c r="J17" s="5">
        <v>186</v>
      </c>
      <c r="L17" s="27" t="s">
        <v>1749</v>
      </c>
      <c r="N17" s="3">
        <v>283</v>
      </c>
      <c r="P17" s="27">
        <v>233.85</v>
      </c>
      <c r="Q17">
        <v>-1</v>
      </c>
      <c r="S17" s="19" t="s">
        <v>1750</v>
      </c>
      <c r="U17" s="37">
        <v>187</v>
      </c>
      <c r="V17" s="27" t="s">
        <v>2254</v>
      </c>
      <c r="W17" s="27" t="s">
        <v>2255</v>
      </c>
      <c r="X17" s="27" t="s">
        <v>2256</v>
      </c>
      <c r="Y17" s="27"/>
      <c r="Z17" s="27" t="s">
        <v>2257</v>
      </c>
      <c r="AA17" s="27"/>
      <c r="AB17" s="27" t="s">
        <v>2258</v>
      </c>
      <c r="AC17" s="27" t="s">
        <v>2259</v>
      </c>
      <c r="AD17" s="27"/>
      <c r="AE17" s="27" t="s">
        <v>2259</v>
      </c>
      <c r="AF17" s="27"/>
      <c r="AG17" s="27" t="s">
        <v>2260</v>
      </c>
      <c r="AH17" s="27"/>
      <c r="AI17" s="27" t="s">
        <v>2261</v>
      </c>
      <c r="AJ17" s="27" t="s">
        <v>2262</v>
      </c>
      <c r="AK17" s="27" t="s">
        <v>2263</v>
      </c>
      <c r="AL17" s="27" t="s">
        <v>2200</v>
      </c>
      <c r="AM17" s="27" t="s">
        <v>2264</v>
      </c>
      <c r="AN17" s="27" t="s">
        <v>2265</v>
      </c>
      <c r="AO17" s="27"/>
      <c r="AP17" s="27">
        <v>187</v>
      </c>
    </row>
    <row r="18" spans="2:42" ht="13.5" thickBot="1">
      <c r="B18" s="3">
        <v>286</v>
      </c>
      <c r="C18" s="3">
        <v>20.5</v>
      </c>
      <c r="D18" s="122">
        <v>-233.15</v>
      </c>
      <c r="E18" s="4">
        <v>-11.43</v>
      </c>
      <c r="F18" s="5">
        <v>16</v>
      </c>
      <c r="H18" s="19">
        <v>72.5</v>
      </c>
      <c r="I18">
        <v>171</v>
      </c>
      <c r="J18" s="5">
        <v>185</v>
      </c>
      <c r="L18" s="27" t="s">
        <v>1751</v>
      </c>
      <c r="N18" s="3">
        <v>286</v>
      </c>
      <c r="P18" s="27">
        <v>233.15</v>
      </c>
      <c r="Q18">
        <v>-1</v>
      </c>
      <c r="S18" s="19" t="s">
        <v>1752</v>
      </c>
      <c r="U18" s="37">
        <v>186</v>
      </c>
      <c r="V18" s="27" t="s">
        <v>2266</v>
      </c>
      <c r="W18" s="27"/>
      <c r="X18" s="27" t="s">
        <v>2267</v>
      </c>
      <c r="Y18" s="27"/>
      <c r="Z18" s="27" t="s">
        <v>2214</v>
      </c>
      <c r="AA18" s="27" t="s">
        <v>2268</v>
      </c>
      <c r="AB18" s="27" t="s">
        <v>2269</v>
      </c>
      <c r="AC18" s="27" t="s">
        <v>2270</v>
      </c>
      <c r="AD18" s="27" t="s">
        <v>2271</v>
      </c>
      <c r="AE18" s="27" t="s">
        <v>2270</v>
      </c>
      <c r="AF18" s="27" t="s">
        <v>2271</v>
      </c>
      <c r="AG18" s="27" t="s">
        <v>2272</v>
      </c>
      <c r="AH18" s="27" t="s">
        <v>2273</v>
      </c>
      <c r="AI18" s="27"/>
      <c r="AJ18" s="27" t="s">
        <v>2274</v>
      </c>
      <c r="AK18" s="27" t="s">
        <v>2275</v>
      </c>
      <c r="AL18" s="27" t="s">
        <v>2213</v>
      </c>
      <c r="AM18" s="27" t="s">
        <v>2276</v>
      </c>
      <c r="AN18" s="27" t="s">
        <v>2277</v>
      </c>
      <c r="AO18" s="27">
        <v>73</v>
      </c>
      <c r="AP18" s="27">
        <v>186</v>
      </c>
    </row>
    <row r="19" spans="2:42" ht="13.5" thickBot="1">
      <c r="B19" s="3">
        <v>289</v>
      </c>
      <c r="C19" s="3">
        <v>21</v>
      </c>
      <c r="D19" s="122">
        <v>-232.45</v>
      </c>
      <c r="E19" s="4">
        <v>-11.37</v>
      </c>
      <c r="F19" s="5">
        <v>17</v>
      </c>
      <c r="H19" s="19"/>
      <c r="J19" s="5">
        <v>184</v>
      </c>
      <c r="L19" s="27" t="s">
        <v>1753</v>
      </c>
      <c r="N19" s="3">
        <v>289</v>
      </c>
      <c r="P19" s="27">
        <v>232.45</v>
      </c>
      <c r="Q19">
        <v>-1</v>
      </c>
      <c r="S19" s="19"/>
      <c r="U19" s="37">
        <v>185</v>
      </c>
      <c r="V19" s="27" t="s">
        <v>2278</v>
      </c>
      <c r="W19" s="27"/>
      <c r="X19" s="27" t="s">
        <v>2279</v>
      </c>
      <c r="Y19" s="27"/>
      <c r="Z19" s="27" t="s">
        <v>2280</v>
      </c>
      <c r="AA19" s="27" t="s">
        <v>2281</v>
      </c>
      <c r="AB19" s="27" t="s">
        <v>2282</v>
      </c>
      <c r="AC19" s="27" t="s">
        <v>2283</v>
      </c>
      <c r="AD19" s="27"/>
      <c r="AE19" s="27" t="s">
        <v>2283</v>
      </c>
      <c r="AF19" s="27"/>
      <c r="AG19" s="27" t="s">
        <v>2284</v>
      </c>
      <c r="AH19" s="27" t="s">
        <v>2285</v>
      </c>
      <c r="AI19" s="27" t="s">
        <v>2286</v>
      </c>
      <c r="AJ19" s="27" t="s">
        <v>2287</v>
      </c>
      <c r="AK19" s="27" t="s">
        <v>2288</v>
      </c>
      <c r="AL19" s="27" t="s">
        <v>2224</v>
      </c>
      <c r="AM19" s="27" t="s">
        <v>2289</v>
      </c>
      <c r="AN19" s="27" t="s">
        <v>2290</v>
      </c>
      <c r="AO19" s="27">
        <v>72.5</v>
      </c>
      <c r="AP19" s="27">
        <v>185</v>
      </c>
    </row>
    <row r="20" spans="2:42" ht="13.5" thickBot="1">
      <c r="B20" s="3">
        <v>292</v>
      </c>
      <c r="C20" s="3">
        <v>21.5</v>
      </c>
      <c r="D20" s="122">
        <v>-231.75</v>
      </c>
      <c r="E20" s="4">
        <v>-11.31</v>
      </c>
      <c r="F20" s="5">
        <v>18</v>
      </c>
      <c r="H20" s="19">
        <v>72</v>
      </c>
      <c r="I20">
        <v>170</v>
      </c>
      <c r="J20" s="5">
        <v>183</v>
      </c>
      <c r="L20" s="27" t="s">
        <v>1754</v>
      </c>
      <c r="N20" s="3">
        <v>292</v>
      </c>
      <c r="P20" s="27">
        <v>231.75</v>
      </c>
      <c r="Q20">
        <v>-1</v>
      </c>
      <c r="S20" s="19" t="s">
        <v>1755</v>
      </c>
      <c r="U20" s="37">
        <v>184</v>
      </c>
      <c r="V20" s="27" t="s">
        <v>2292</v>
      </c>
      <c r="W20" s="27"/>
      <c r="X20" s="27" t="s">
        <v>2293</v>
      </c>
      <c r="Y20" s="27"/>
      <c r="Z20" s="27" t="s">
        <v>2294</v>
      </c>
      <c r="AA20" s="27"/>
      <c r="AB20" s="27" t="s">
        <v>2295</v>
      </c>
      <c r="AC20" s="27" t="s">
        <v>2296</v>
      </c>
      <c r="AD20" s="27" t="s">
        <v>2297</v>
      </c>
      <c r="AE20" s="27" t="s">
        <v>2296</v>
      </c>
      <c r="AF20" s="27" t="s">
        <v>2297</v>
      </c>
      <c r="AG20" s="27" t="s">
        <v>2298</v>
      </c>
      <c r="AH20" s="27" t="s">
        <v>2299</v>
      </c>
      <c r="AI20" s="27"/>
      <c r="AJ20" s="27" t="s">
        <v>2300</v>
      </c>
      <c r="AK20" s="27" t="s">
        <v>2301</v>
      </c>
      <c r="AL20" s="27" t="s">
        <v>2237</v>
      </c>
      <c r="AM20" s="27" t="s">
        <v>2302</v>
      </c>
      <c r="AN20" s="27" t="s">
        <v>2303</v>
      </c>
      <c r="AO20" s="27"/>
      <c r="AP20" s="27">
        <v>184</v>
      </c>
    </row>
    <row r="21" spans="2:42" ht="13.5" thickBot="1">
      <c r="B21" s="3">
        <v>295</v>
      </c>
      <c r="C21" s="3">
        <v>22</v>
      </c>
      <c r="D21" s="122">
        <v>-231.05</v>
      </c>
      <c r="E21" s="4">
        <v>-11.25</v>
      </c>
      <c r="F21" s="5">
        <v>19</v>
      </c>
      <c r="H21" s="19"/>
      <c r="J21" s="5">
        <v>182</v>
      </c>
      <c r="L21" s="27" t="s">
        <v>1756</v>
      </c>
      <c r="N21" s="3">
        <v>295</v>
      </c>
      <c r="P21" s="27">
        <v>231.05</v>
      </c>
      <c r="Q21">
        <v>-1</v>
      </c>
      <c r="S21" s="19"/>
      <c r="U21" s="37">
        <v>183</v>
      </c>
      <c r="V21" s="27" t="s">
        <v>2304</v>
      </c>
      <c r="W21" s="27"/>
      <c r="X21" s="27" t="s">
        <v>2305</v>
      </c>
      <c r="Y21" s="27" t="s">
        <v>2306</v>
      </c>
      <c r="Z21" s="27" t="s">
        <v>2307</v>
      </c>
      <c r="AA21" s="27" t="s">
        <v>2308</v>
      </c>
      <c r="AB21" s="27" t="s">
        <v>2309</v>
      </c>
      <c r="AC21" s="27" t="s">
        <v>2310</v>
      </c>
      <c r="AD21" s="27"/>
      <c r="AE21" s="27" t="s">
        <v>2310</v>
      </c>
      <c r="AF21" s="27"/>
      <c r="AG21" s="27" t="s">
        <v>2311</v>
      </c>
      <c r="AH21" s="27" t="s">
        <v>2312</v>
      </c>
      <c r="AI21" s="27" t="s">
        <v>2313</v>
      </c>
      <c r="AJ21" s="27" t="s">
        <v>2314</v>
      </c>
      <c r="AK21" s="27" t="s">
        <v>2315</v>
      </c>
      <c r="AL21" s="27" t="s">
        <v>2251</v>
      </c>
      <c r="AM21" s="27" t="s">
        <v>2316</v>
      </c>
      <c r="AN21" s="27" t="s">
        <v>2317</v>
      </c>
      <c r="AO21" s="27">
        <v>72</v>
      </c>
      <c r="AP21" s="27">
        <v>183</v>
      </c>
    </row>
    <row r="22" spans="2:42" ht="13.5" thickBot="1">
      <c r="B22" s="3">
        <v>298</v>
      </c>
      <c r="C22" s="3">
        <v>22.5</v>
      </c>
      <c r="D22" s="122">
        <v>-230.35</v>
      </c>
      <c r="E22" s="4">
        <v>-11.19</v>
      </c>
      <c r="F22" s="5">
        <v>20</v>
      </c>
      <c r="H22" s="19">
        <v>71.5</v>
      </c>
      <c r="I22">
        <v>169</v>
      </c>
      <c r="J22" s="5">
        <v>181</v>
      </c>
      <c r="L22" s="27" t="s">
        <v>1757</v>
      </c>
      <c r="N22" s="3">
        <v>298</v>
      </c>
      <c r="P22" s="27">
        <v>230.35</v>
      </c>
      <c r="Q22">
        <v>-1</v>
      </c>
      <c r="S22" s="19" t="s">
        <v>1758</v>
      </c>
      <c r="U22" s="37">
        <v>182</v>
      </c>
      <c r="V22" s="27" t="s">
        <v>2318</v>
      </c>
      <c r="W22" s="27"/>
      <c r="X22" s="27" t="s">
        <v>2319</v>
      </c>
      <c r="Y22" s="27"/>
      <c r="Z22" s="27" t="s">
        <v>2320</v>
      </c>
      <c r="AA22" s="27" t="s">
        <v>2321</v>
      </c>
      <c r="AB22" s="27" t="s">
        <v>2322</v>
      </c>
      <c r="AC22" s="27" t="s">
        <v>2323</v>
      </c>
      <c r="AD22" s="27"/>
      <c r="AE22" s="27" t="s">
        <v>2323</v>
      </c>
      <c r="AF22" s="27"/>
      <c r="AG22" s="27" t="s">
        <v>2324</v>
      </c>
      <c r="AH22" s="27" t="s">
        <v>2325</v>
      </c>
      <c r="AI22" s="27"/>
      <c r="AJ22" s="27" t="s">
        <v>2326</v>
      </c>
      <c r="AK22" s="27" t="s">
        <v>2327</v>
      </c>
      <c r="AL22" s="27" t="s">
        <v>2263</v>
      </c>
      <c r="AM22" s="27" t="s">
        <v>2328</v>
      </c>
      <c r="AN22" s="27" t="s">
        <v>2329</v>
      </c>
      <c r="AO22" s="27"/>
      <c r="AP22" s="27">
        <v>182</v>
      </c>
    </row>
    <row r="23" spans="2:42" ht="13.5" thickBot="1">
      <c r="B23" s="3">
        <v>301</v>
      </c>
      <c r="C23" s="3">
        <v>23</v>
      </c>
      <c r="D23" s="122">
        <v>-229.65</v>
      </c>
      <c r="E23" s="4">
        <v>-11.14</v>
      </c>
      <c r="F23" s="5">
        <v>21</v>
      </c>
      <c r="G23">
        <v>-7.4</v>
      </c>
      <c r="H23" s="19">
        <v>71</v>
      </c>
      <c r="J23" s="5">
        <v>180</v>
      </c>
      <c r="L23" s="27" t="s">
        <v>1759</v>
      </c>
      <c r="N23" s="3">
        <v>301</v>
      </c>
      <c r="P23" s="27">
        <v>229.65</v>
      </c>
      <c r="Q23">
        <v>-1</v>
      </c>
      <c r="S23" s="19" t="s">
        <v>1760</v>
      </c>
      <c r="U23" s="37">
        <v>181</v>
      </c>
      <c r="V23" s="27" t="s">
        <v>2330</v>
      </c>
      <c r="W23" s="27"/>
      <c r="X23" s="27" t="s">
        <v>2331</v>
      </c>
      <c r="Y23" s="27"/>
      <c r="Z23" s="27" t="s">
        <v>2332</v>
      </c>
      <c r="AA23" s="27" t="s">
        <v>2333</v>
      </c>
      <c r="AB23" s="27" t="s">
        <v>2334</v>
      </c>
      <c r="AC23" s="27" t="s">
        <v>2335</v>
      </c>
      <c r="AD23" s="27" t="s">
        <v>2336</v>
      </c>
      <c r="AE23" s="27" t="s">
        <v>2335</v>
      </c>
      <c r="AF23" s="27" t="s">
        <v>2336</v>
      </c>
      <c r="AG23" s="27" t="s">
        <v>2337</v>
      </c>
      <c r="AH23" s="27" t="s">
        <v>2338</v>
      </c>
      <c r="AI23" s="27" t="s">
        <v>2339</v>
      </c>
      <c r="AJ23" s="27" t="s">
        <v>2340</v>
      </c>
      <c r="AK23" s="27" t="s">
        <v>2341</v>
      </c>
      <c r="AL23" s="27" t="s">
        <v>2275</v>
      </c>
      <c r="AM23" s="27" t="s">
        <v>2342</v>
      </c>
      <c r="AN23" s="27" t="s">
        <v>2343</v>
      </c>
      <c r="AO23" s="27">
        <v>71.5</v>
      </c>
      <c r="AP23" s="27">
        <v>181</v>
      </c>
    </row>
    <row r="24" spans="2:42" ht="13.5" thickBot="1">
      <c r="B24" s="3">
        <v>304</v>
      </c>
      <c r="C24" s="3">
        <v>23.5</v>
      </c>
      <c r="D24" s="122">
        <v>-228.95</v>
      </c>
      <c r="E24" s="4">
        <v>-11.09</v>
      </c>
      <c r="F24" s="5">
        <v>22</v>
      </c>
      <c r="H24" s="19"/>
      <c r="I24">
        <v>168</v>
      </c>
      <c r="J24" s="5">
        <v>179</v>
      </c>
      <c r="L24" s="27" t="s">
        <v>1761</v>
      </c>
      <c r="N24" s="3">
        <v>304</v>
      </c>
      <c r="P24" s="27">
        <v>228.95</v>
      </c>
      <c r="Q24">
        <v>-1</v>
      </c>
      <c r="S24" s="19"/>
      <c r="U24" s="37">
        <v>180</v>
      </c>
      <c r="V24" s="27" t="s">
        <v>2344</v>
      </c>
      <c r="W24" s="27" t="s">
        <v>2345</v>
      </c>
      <c r="X24" s="27" t="s">
        <v>2346</v>
      </c>
      <c r="Y24" s="27"/>
      <c r="Z24" s="27" t="s">
        <v>2347</v>
      </c>
      <c r="AA24" s="27"/>
      <c r="AB24" s="27" t="s">
        <v>2348</v>
      </c>
      <c r="AC24" s="27" t="s">
        <v>2349</v>
      </c>
      <c r="AD24" s="27"/>
      <c r="AE24" s="27" t="s">
        <v>2349</v>
      </c>
      <c r="AF24" s="27"/>
      <c r="AG24" s="27" t="s">
        <v>2350</v>
      </c>
      <c r="AH24" s="27" t="s">
        <v>2351</v>
      </c>
      <c r="AI24" s="27"/>
      <c r="AJ24" s="27" t="s">
        <v>2352</v>
      </c>
      <c r="AK24" s="27" t="s">
        <v>2353</v>
      </c>
      <c r="AL24" s="27" t="s">
        <v>2288</v>
      </c>
      <c r="AM24" s="27" t="s">
        <v>2354</v>
      </c>
      <c r="AN24" s="27" t="s">
        <v>2355</v>
      </c>
      <c r="AO24" s="27">
        <v>71</v>
      </c>
      <c r="AP24" s="27">
        <v>180</v>
      </c>
    </row>
    <row r="25" spans="2:42" ht="13.5" thickBot="1">
      <c r="B25" s="3">
        <v>307</v>
      </c>
      <c r="C25" s="3">
        <v>24</v>
      </c>
      <c r="D25" s="122">
        <v>-228.3</v>
      </c>
      <c r="E25" s="4">
        <v>-11.04</v>
      </c>
      <c r="F25" s="5">
        <v>23</v>
      </c>
      <c r="H25" s="19">
        <v>70.5</v>
      </c>
      <c r="J25" s="5">
        <v>178</v>
      </c>
      <c r="L25" s="27" t="s">
        <v>1762</v>
      </c>
      <c r="N25" s="3">
        <v>307</v>
      </c>
      <c r="P25" s="27">
        <v>228.3</v>
      </c>
      <c r="Q25">
        <v>-1</v>
      </c>
      <c r="S25" s="19" t="s">
        <v>1763</v>
      </c>
      <c r="U25" s="37">
        <v>179</v>
      </c>
      <c r="V25" s="27" t="s">
        <v>2357</v>
      </c>
      <c r="W25" s="27"/>
      <c r="X25" s="27" t="s">
        <v>2358</v>
      </c>
      <c r="Y25" s="27" t="s">
        <v>2359</v>
      </c>
      <c r="Z25" s="27" t="s">
        <v>2360</v>
      </c>
      <c r="AA25" s="27" t="s">
        <v>2361</v>
      </c>
      <c r="AB25" s="27" t="s">
        <v>2362</v>
      </c>
      <c r="AC25" s="27" t="s">
        <v>2363</v>
      </c>
      <c r="AD25" s="27" t="s">
        <v>2364</v>
      </c>
      <c r="AE25" s="27" t="s">
        <v>2363</v>
      </c>
      <c r="AF25" s="27" t="s">
        <v>2364</v>
      </c>
      <c r="AG25" s="27" t="s">
        <v>2365</v>
      </c>
      <c r="AH25" s="27" t="s">
        <v>2366</v>
      </c>
      <c r="AI25" s="27" t="s">
        <v>2367</v>
      </c>
      <c r="AJ25" s="27" t="s">
        <v>2368</v>
      </c>
      <c r="AK25" s="27" t="s">
        <v>2369</v>
      </c>
      <c r="AL25" s="27" t="s">
        <v>2301</v>
      </c>
      <c r="AM25" s="27" t="s">
        <v>2370</v>
      </c>
      <c r="AN25" s="27" t="s">
        <v>2371</v>
      </c>
      <c r="AO25" s="27"/>
      <c r="AP25" s="27">
        <v>179</v>
      </c>
    </row>
    <row r="26" spans="2:42" ht="13.5" thickBot="1">
      <c r="B26" s="3">
        <v>310</v>
      </c>
      <c r="C26" s="3">
        <v>24.5</v>
      </c>
      <c r="D26" s="122">
        <v>-227.7</v>
      </c>
      <c r="E26" s="4">
        <v>-10.99</v>
      </c>
      <c r="F26" s="5">
        <v>24</v>
      </c>
      <c r="H26" s="19"/>
      <c r="I26">
        <v>167</v>
      </c>
      <c r="J26" s="5">
        <v>177</v>
      </c>
      <c r="L26" s="27" t="s">
        <v>1764</v>
      </c>
      <c r="N26" s="3">
        <v>310</v>
      </c>
      <c r="P26" s="27">
        <v>227.7</v>
      </c>
      <c r="Q26">
        <v>-1</v>
      </c>
      <c r="S26" s="19"/>
      <c r="U26" s="37">
        <v>178</v>
      </c>
      <c r="V26" s="27" t="s">
        <v>2372</v>
      </c>
      <c r="W26" s="27"/>
      <c r="X26" s="27" t="s">
        <v>2373</v>
      </c>
      <c r="Y26" s="27"/>
      <c r="Z26" s="27" t="s">
        <v>2374</v>
      </c>
      <c r="AA26" s="27" t="s">
        <v>2375</v>
      </c>
      <c r="AB26" s="27" t="s">
        <v>2376</v>
      </c>
      <c r="AC26" s="27" t="s">
        <v>2377</v>
      </c>
      <c r="AD26" s="27"/>
      <c r="AE26" s="27" t="s">
        <v>2377</v>
      </c>
      <c r="AF26" s="27"/>
      <c r="AG26" s="27" t="s">
        <v>2378</v>
      </c>
      <c r="AH26" s="27" t="s">
        <v>2379</v>
      </c>
      <c r="AI26" s="27"/>
      <c r="AJ26" s="27" t="s">
        <v>2380</v>
      </c>
      <c r="AK26" s="27" t="s">
        <v>2381</v>
      </c>
      <c r="AL26" s="27" t="s">
        <v>2315</v>
      </c>
      <c r="AM26" s="27" t="s">
        <v>2382</v>
      </c>
      <c r="AN26" s="27" t="s">
        <v>2383</v>
      </c>
      <c r="AO26" s="27">
        <v>70.5</v>
      </c>
      <c r="AP26" s="27">
        <v>178</v>
      </c>
    </row>
    <row r="27" spans="2:42" ht="13.5" thickBot="1">
      <c r="B27" s="3">
        <v>313</v>
      </c>
      <c r="C27" s="3">
        <v>25</v>
      </c>
      <c r="D27" s="122">
        <v>-227.1</v>
      </c>
      <c r="E27" s="4">
        <v>-10.95</v>
      </c>
      <c r="F27" s="5">
        <v>25</v>
      </c>
      <c r="H27" s="19">
        <v>70</v>
      </c>
      <c r="J27" s="5">
        <v>176</v>
      </c>
      <c r="L27" s="27" t="s">
        <v>1765</v>
      </c>
      <c r="N27" s="3">
        <v>313</v>
      </c>
      <c r="P27" s="27">
        <v>227.1</v>
      </c>
      <c r="Q27">
        <v>-1</v>
      </c>
      <c r="S27" s="19" t="s">
        <v>1766</v>
      </c>
      <c r="U27" s="37">
        <v>177</v>
      </c>
      <c r="V27" s="27" t="s">
        <v>2384</v>
      </c>
      <c r="W27" s="27"/>
      <c r="X27" s="27" t="s">
        <v>2385</v>
      </c>
      <c r="Y27" s="27"/>
      <c r="Z27" s="27" t="s">
        <v>2386</v>
      </c>
      <c r="AA27" s="27" t="s">
        <v>2387</v>
      </c>
      <c r="AB27" s="27" t="s">
        <v>2388</v>
      </c>
      <c r="AC27" s="27" t="s">
        <v>2389</v>
      </c>
      <c r="AD27" s="27" t="s">
        <v>2390</v>
      </c>
      <c r="AE27" s="27" t="s">
        <v>2389</v>
      </c>
      <c r="AF27" s="27" t="s">
        <v>2390</v>
      </c>
      <c r="AG27" s="27" t="s">
        <v>2391</v>
      </c>
      <c r="AH27" s="27"/>
      <c r="AI27" s="27" t="s">
        <v>2392</v>
      </c>
      <c r="AJ27" s="27" t="s">
        <v>2393</v>
      </c>
      <c r="AK27" s="27" t="s">
        <v>2373</v>
      </c>
      <c r="AL27" s="27" t="s">
        <v>2327</v>
      </c>
      <c r="AM27" s="27" t="s">
        <v>2394</v>
      </c>
      <c r="AN27" s="27" t="s">
        <v>2108</v>
      </c>
      <c r="AO27" s="27"/>
      <c r="AP27" s="27">
        <v>177</v>
      </c>
    </row>
    <row r="28" spans="2:42" ht="13.5" thickBot="1">
      <c r="B28" s="3">
        <v>316</v>
      </c>
      <c r="C28" s="3">
        <v>25.5</v>
      </c>
      <c r="D28" s="122">
        <v>-226.5</v>
      </c>
      <c r="E28" s="4">
        <v>-10.91</v>
      </c>
      <c r="F28" s="5">
        <v>26</v>
      </c>
      <c r="H28" s="19">
        <v>69.5</v>
      </c>
      <c r="J28" s="5">
        <v>175</v>
      </c>
      <c r="L28" s="27" t="s">
        <v>1767</v>
      </c>
      <c r="N28" s="3">
        <v>316</v>
      </c>
      <c r="P28" s="27">
        <v>226.5</v>
      </c>
      <c r="Q28">
        <v>-1</v>
      </c>
      <c r="S28" s="19" t="s">
        <v>1768</v>
      </c>
      <c r="U28" s="37">
        <v>176</v>
      </c>
      <c r="V28" s="27" t="s">
        <v>2395</v>
      </c>
      <c r="W28" s="27"/>
      <c r="X28" s="27" t="s">
        <v>2396</v>
      </c>
      <c r="Y28" s="27"/>
      <c r="Z28" s="27" t="s">
        <v>2397</v>
      </c>
      <c r="AA28" s="27"/>
      <c r="AB28" s="27" t="s">
        <v>2398</v>
      </c>
      <c r="AC28" s="27" t="s">
        <v>2399</v>
      </c>
      <c r="AD28" s="27"/>
      <c r="AE28" s="27" t="s">
        <v>2399</v>
      </c>
      <c r="AF28" s="27"/>
      <c r="AG28" s="27" t="s">
        <v>2400</v>
      </c>
      <c r="AH28" s="27" t="s">
        <v>2401</v>
      </c>
      <c r="AI28" s="27"/>
      <c r="AJ28" s="27" t="s">
        <v>2402</v>
      </c>
      <c r="AK28" s="27" t="s">
        <v>2331</v>
      </c>
      <c r="AL28" s="27" t="s">
        <v>2341</v>
      </c>
      <c r="AM28" s="27" t="s">
        <v>2403</v>
      </c>
      <c r="AN28" s="27" t="s">
        <v>2123</v>
      </c>
      <c r="AO28" s="27">
        <v>70</v>
      </c>
      <c r="AP28" s="27">
        <v>176</v>
      </c>
    </row>
    <row r="29" spans="2:42" ht="13.5" thickBot="1">
      <c r="B29" s="3">
        <v>319</v>
      </c>
      <c r="C29" s="3">
        <v>26</v>
      </c>
      <c r="D29" s="122">
        <v>-225.95</v>
      </c>
      <c r="E29" s="4">
        <v>-10.87</v>
      </c>
      <c r="F29" s="5">
        <v>27</v>
      </c>
      <c r="H29" s="19"/>
      <c r="I29">
        <v>166</v>
      </c>
      <c r="J29" s="5">
        <v>174</v>
      </c>
      <c r="L29" s="27" t="s">
        <v>1769</v>
      </c>
      <c r="N29" s="3">
        <v>319</v>
      </c>
      <c r="P29" s="27">
        <v>225.95</v>
      </c>
      <c r="Q29">
        <v>-1</v>
      </c>
      <c r="S29" s="19"/>
      <c r="U29" s="37">
        <v>175</v>
      </c>
      <c r="V29" s="27" t="s">
        <v>2404</v>
      </c>
      <c r="W29" s="27"/>
      <c r="X29" s="27" t="s">
        <v>2381</v>
      </c>
      <c r="Y29" s="27"/>
      <c r="Z29" s="27" t="s">
        <v>2405</v>
      </c>
      <c r="AA29" s="27" t="s">
        <v>2406</v>
      </c>
      <c r="AB29" s="27" t="s">
        <v>2407</v>
      </c>
      <c r="AC29" s="27" t="s">
        <v>2408</v>
      </c>
      <c r="AD29" s="27"/>
      <c r="AE29" s="27" t="s">
        <v>2408</v>
      </c>
      <c r="AF29" s="27"/>
      <c r="AG29" s="27" t="s">
        <v>2409</v>
      </c>
      <c r="AH29" s="27" t="s">
        <v>2410</v>
      </c>
      <c r="AI29" s="27"/>
      <c r="AJ29" s="27" t="s">
        <v>2411</v>
      </c>
      <c r="AK29" s="27" t="s">
        <v>2293</v>
      </c>
      <c r="AL29" s="27" t="s">
        <v>2353</v>
      </c>
      <c r="AM29" s="27" t="s">
        <v>2412</v>
      </c>
      <c r="AN29" s="27" t="s">
        <v>2413</v>
      </c>
      <c r="AO29" s="27">
        <v>69.5</v>
      </c>
      <c r="AP29" s="27">
        <v>175</v>
      </c>
    </row>
    <row r="30" spans="2:42" ht="13.5" thickBot="1">
      <c r="B30" s="3">
        <v>322</v>
      </c>
      <c r="C30" s="3">
        <v>26.5</v>
      </c>
      <c r="D30" s="122">
        <v>-225.4</v>
      </c>
      <c r="E30" s="4">
        <v>-10.83</v>
      </c>
      <c r="F30" s="5">
        <v>28</v>
      </c>
      <c r="G30">
        <v>-7.5</v>
      </c>
      <c r="H30" s="19">
        <v>69</v>
      </c>
      <c r="J30" s="5">
        <v>173</v>
      </c>
      <c r="L30" s="27" t="s">
        <v>1770</v>
      </c>
      <c r="N30" s="3">
        <v>322</v>
      </c>
      <c r="P30" s="27">
        <v>225.4</v>
      </c>
      <c r="Q30">
        <v>-1</v>
      </c>
      <c r="S30" s="19" t="s">
        <v>1771</v>
      </c>
      <c r="U30" s="37">
        <v>174</v>
      </c>
      <c r="V30" s="27" t="s">
        <v>2414</v>
      </c>
      <c r="W30" s="27"/>
      <c r="X30" s="27" t="s">
        <v>2415</v>
      </c>
      <c r="Y30" s="27" t="s">
        <v>2416</v>
      </c>
      <c r="Z30" s="27" t="s">
        <v>2417</v>
      </c>
      <c r="AA30" s="27" t="s">
        <v>2418</v>
      </c>
      <c r="AB30" s="27" t="s">
        <v>2419</v>
      </c>
      <c r="AC30" s="27" t="s">
        <v>2420</v>
      </c>
      <c r="AD30" s="27" t="s">
        <v>2421</v>
      </c>
      <c r="AE30" s="27" t="s">
        <v>2420</v>
      </c>
      <c r="AF30" s="27" t="s">
        <v>2421</v>
      </c>
      <c r="AG30" s="27" t="s">
        <v>2422</v>
      </c>
      <c r="AH30" s="27" t="s">
        <v>2423</v>
      </c>
      <c r="AI30" s="27" t="s">
        <v>2424</v>
      </c>
      <c r="AJ30" s="27" t="s">
        <v>2425</v>
      </c>
      <c r="AK30" s="27" t="s">
        <v>2426</v>
      </c>
      <c r="AL30" s="27" t="s">
        <v>2369</v>
      </c>
      <c r="AM30" s="27" t="s">
        <v>2427</v>
      </c>
      <c r="AN30" s="27" t="s">
        <v>2428</v>
      </c>
      <c r="AO30" s="27"/>
      <c r="AP30" s="27">
        <v>174</v>
      </c>
    </row>
    <row r="31" spans="2:42" ht="13.5" thickBot="1">
      <c r="B31" s="3">
        <v>325</v>
      </c>
      <c r="C31" s="3">
        <v>27</v>
      </c>
      <c r="D31" s="122">
        <v>-224.85</v>
      </c>
      <c r="E31" s="4">
        <v>-10.79</v>
      </c>
      <c r="F31" s="5">
        <v>29</v>
      </c>
      <c r="H31" s="19"/>
      <c r="I31">
        <v>165</v>
      </c>
      <c r="J31" s="5">
        <v>172</v>
      </c>
      <c r="L31" s="27" t="s">
        <v>1772</v>
      </c>
      <c r="N31" s="3">
        <v>325</v>
      </c>
      <c r="P31" s="27">
        <v>224.85</v>
      </c>
      <c r="Q31">
        <v>-1</v>
      </c>
      <c r="S31" s="19"/>
      <c r="U31" s="37">
        <v>173</v>
      </c>
      <c r="V31" s="27" t="s">
        <v>2429</v>
      </c>
      <c r="W31" s="27" t="s">
        <v>2430</v>
      </c>
      <c r="X31" s="27" t="s">
        <v>2431</v>
      </c>
      <c r="Y31" s="27"/>
      <c r="Z31" s="27" t="s">
        <v>2432</v>
      </c>
      <c r="AA31" s="27" t="s">
        <v>2433</v>
      </c>
      <c r="AB31" s="27" t="s">
        <v>2434</v>
      </c>
      <c r="AC31" s="27" t="s">
        <v>2435</v>
      </c>
      <c r="AD31" s="27"/>
      <c r="AE31" s="27" t="s">
        <v>2435</v>
      </c>
      <c r="AF31" s="27"/>
      <c r="AG31" s="27" t="s">
        <v>2436</v>
      </c>
      <c r="AH31" s="27" t="s">
        <v>2437</v>
      </c>
      <c r="AI31" s="27"/>
      <c r="AJ31" s="27" t="s">
        <v>2438</v>
      </c>
      <c r="AK31" s="27" t="s">
        <v>2217</v>
      </c>
      <c r="AL31" s="27" t="s">
        <v>2381</v>
      </c>
      <c r="AM31" s="27" t="s">
        <v>2439</v>
      </c>
      <c r="AN31" s="27" t="s">
        <v>2440</v>
      </c>
      <c r="AO31" s="27">
        <v>69</v>
      </c>
      <c r="AP31" s="27">
        <v>173</v>
      </c>
    </row>
    <row r="32" spans="2:42" ht="13.5" thickBot="1">
      <c r="B32" s="3">
        <v>328</v>
      </c>
      <c r="C32" s="3">
        <v>27.5</v>
      </c>
      <c r="D32" s="122">
        <v>-224.3</v>
      </c>
      <c r="E32" s="4">
        <v>-10.75</v>
      </c>
      <c r="F32" s="5">
        <v>30</v>
      </c>
      <c r="H32" s="19">
        <v>68.5</v>
      </c>
      <c r="J32" s="5">
        <v>171</v>
      </c>
      <c r="L32" s="27" t="s">
        <v>1773</v>
      </c>
      <c r="N32" s="3">
        <v>328</v>
      </c>
      <c r="P32" s="27">
        <v>224.3</v>
      </c>
      <c r="Q32">
        <v>-1</v>
      </c>
      <c r="S32" s="19" t="s">
        <v>1774</v>
      </c>
      <c r="U32" s="37">
        <v>172</v>
      </c>
      <c r="V32" s="27" t="s">
        <v>2441</v>
      </c>
      <c r="W32" s="27"/>
      <c r="X32" s="27" t="s">
        <v>2369</v>
      </c>
      <c r="Y32" s="27"/>
      <c r="Z32" s="27" t="s">
        <v>2151</v>
      </c>
      <c r="AA32" s="27"/>
      <c r="AB32" s="27" t="s">
        <v>2442</v>
      </c>
      <c r="AC32" s="27" t="s">
        <v>2443</v>
      </c>
      <c r="AD32" s="27" t="s">
        <v>2444</v>
      </c>
      <c r="AE32" s="27" t="s">
        <v>2443</v>
      </c>
      <c r="AF32" s="27" t="s">
        <v>2444</v>
      </c>
      <c r="AG32" s="27" t="s">
        <v>2445</v>
      </c>
      <c r="AH32" s="27" t="s">
        <v>2446</v>
      </c>
      <c r="AI32" s="27" t="s">
        <v>2447</v>
      </c>
      <c r="AJ32" s="27" t="s">
        <v>2448</v>
      </c>
      <c r="AK32" s="27" t="s">
        <v>2178</v>
      </c>
      <c r="AL32" s="27" t="s">
        <v>2373</v>
      </c>
      <c r="AM32" s="27" t="s">
        <v>2449</v>
      </c>
      <c r="AN32" s="27" t="s">
        <v>2450</v>
      </c>
      <c r="AO32" s="27"/>
      <c r="AP32" s="27">
        <v>172</v>
      </c>
    </row>
    <row r="33" spans="2:42" ht="13.5" thickBot="1">
      <c r="B33" s="3">
        <v>331</v>
      </c>
      <c r="C33" s="3">
        <v>28</v>
      </c>
      <c r="D33" s="122">
        <v>-223.75</v>
      </c>
      <c r="E33" s="4">
        <v>-10.71</v>
      </c>
      <c r="F33" s="5">
        <v>31</v>
      </c>
      <c r="H33" s="19">
        <v>68</v>
      </c>
      <c r="I33">
        <v>164</v>
      </c>
      <c r="J33" s="5">
        <v>170</v>
      </c>
      <c r="L33" s="27" t="s">
        <v>1775</v>
      </c>
      <c r="N33" s="3">
        <v>331</v>
      </c>
      <c r="P33" s="27">
        <v>223.75</v>
      </c>
      <c r="Q33">
        <v>-1</v>
      </c>
      <c r="S33" s="19" t="s">
        <v>1776</v>
      </c>
      <c r="U33" s="37">
        <v>171</v>
      </c>
      <c r="V33" s="27" t="s">
        <v>2451</v>
      </c>
      <c r="W33" s="27"/>
      <c r="X33" s="27" t="s">
        <v>2452</v>
      </c>
      <c r="Y33" s="27"/>
      <c r="Z33" s="27" t="s">
        <v>2453</v>
      </c>
      <c r="AA33" s="27" t="s">
        <v>2454</v>
      </c>
      <c r="AB33" s="27" t="s">
        <v>2455</v>
      </c>
      <c r="AC33" s="27" t="s">
        <v>2456</v>
      </c>
      <c r="AD33" s="27"/>
      <c r="AE33" s="27" t="s">
        <v>2456</v>
      </c>
      <c r="AF33" s="27"/>
      <c r="AG33" s="27" t="s">
        <v>2457</v>
      </c>
      <c r="AH33" s="27" t="s">
        <v>2458</v>
      </c>
      <c r="AI33" s="27"/>
      <c r="AJ33" s="27" t="s">
        <v>2459</v>
      </c>
      <c r="AK33" s="27" t="s">
        <v>2460</v>
      </c>
      <c r="AL33" s="27" t="s">
        <v>2331</v>
      </c>
      <c r="AM33" s="27" t="s">
        <v>2461</v>
      </c>
      <c r="AN33" s="27" t="s">
        <v>2462</v>
      </c>
      <c r="AO33" s="27">
        <v>68.5</v>
      </c>
      <c r="AP33" s="27">
        <v>171</v>
      </c>
    </row>
    <row r="34" spans="2:42" ht="13.5" thickBot="1">
      <c r="B34" s="3">
        <v>334</v>
      </c>
      <c r="C34" s="3">
        <v>28.5</v>
      </c>
      <c r="D34" s="122">
        <v>-223.2</v>
      </c>
      <c r="E34" s="4">
        <v>-10.67</v>
      </c>
      <c r="F34" s="5">
        <v>32</v>
      </c>
      <c r="H34" s="19"/>
      <c r="J34" s="5">
        <v>169</v>
      </c>
      <c r="L34" s="27" t="s">
        <v>1777</v>
      </c>
      <c r="N34" s="3">
        <v>334</v>
      </c>
      <c r="P34" s="27">
        <v>223.2</v>
      </c>
      <c r="Q34">
        <v>-1</v>
      </c>
      <c r="S34" s="19"/>
      <c r="U34" s="37">
        <v>170</v>
      </c>
      <c r="V34" s="27" t="s">
        <v>2464</v>
      </c>
      <c r="W34" s="27"/>
      <c r="X34" s="27" t="s">
        <v>2465</v>
      </c>
      <c r="Y34" s="27" t="s">
        <v>2466</v>
      </c>
      <c r="Z34" s="27" t="s">
        <v>2467</v>
      </c>
      <c r="AA34" s="27" t="s">
        <v>2468</v>
      </c>
      <c r="AB34" s="27" t="s">
        <v>2469</v>
      </c>
      <c r="AC34" s="27" t="s">
        <v>2470</v>
      </c>
      <c r="AD34" s="27" t="s">
        <v>2471</v>
      </c>
      <c r="AE34" s="27" t="s">
        <v>2470</v>
      </c>
      <c r="AF34" s="27" t="s">
        <v>2471</v>
      </c>
      <c r="AG34" s="27" t="s">
        <v>2472</v>
      </c>
      <c r="AH34" s="27" t="s">
        <v>2473</v>
      </c>
      <c r="AI34" s="27" t="s">
        <v>2474</v>
      </c>
      <c r="AJ34" s="27" t="s">
        <v>2475</v>
      </c>
      <c r="AK34" s="27" t="s">
        <v>2476</v>
      </c>
      <c r="AL34" s="27" t="s">
        <v>2293</v>
      </c>
      <c r="AM34" s="27" t="s">
        <v>2477</v>
      </c>
      <c r="AN34" s="27" t="s">
        <v>2478</v>
      </c>
      <c r="AO34" s="27">
        <v>68</v>
      </c>
      <c r="AP34" s="27">
        <v>170</v>
      </c>
    </row>
    <row r="35" spans="2:42" ht="13.5" thickBot="1">
      <c r="B35" s="3">
        <v>337</v>
      </c>
      <c r="C35" s="3">
        <v>29</v>
      </c>
      <c r="D35" s="122">
        <v>-222.65</v>
      </c>
      <c r="E35" s="4">
        <v>-10.63</v>
      </c>
      <c r="F35" s="5">
        <v>33</v>
      </c>
      <c r="H35" s="19">
        <v>67.5</v>
      </c>
      <c r="I35">
        <v>163</v>
      </c>
      <c r="J35" s="5">
        <v>168</v>
      </c>
      <c r="L35" s="27" t="s">
        <v>1778</v>
      </c>
      <c r="N35" s="3">
        <v>337</v>
      </c>
      <c r="P35" s="27">
        <v>222.65</v>
      </c>
      <c r="Q35">
        <v>-1</v>
      </c>
      <c r="S35" s="19" t="s">
        <v>1779</v>
      </c>
      <c r="U35" s="37">
        <v>169</v>
      </c>
      <c r="V35" s="27" t="s">
        <v>2480</v>
      </c>
      <c r="W35" s="27"/>
      <c r="X35" s="27" t="s">
        <v>2481</v>
      </c>
      <c r="Y35" s="27"/>
      <c r="Z35" s="27" t="s">
        <v>2482</v>
      </c>
      <c r="AA35" s="27" t="s">
        <v>2483</v>
      </c>
      <c r="AB35" s="27" t="s">
        <v>2484</v>
      </c>
      <c r="AC35" s="27" t="s">
        <v>2485</v>
      </c>
      <c r="AD35" s="27"/>
      <c r="AE35" s="27" t="s">
        <v>2486</v>
      </c>
      <c r="AF35" s="27"/>
      <c r="AG35" s="27" t="s">
        <v>2487</v>
      </c>
      <c r="AH35" s="27" t="s">
        <v>2488</v>
      </c>
      <c r="AI35" s="27"/>
      <c r="AJ35" s="27" t="s">
        <v>2489</v>
      </c>
      <c r="AK35" s="27" t="s">
        <v>2490</v>
      </c>
      <c r="AL35" s="27" t="s">
        <v>2228</v>
      </c>
      <c r="AM35" s="27" t="s">
        <v>2491</v>
      </c>
      <c r="AN35" s="27" t="s">
        <v>2225</v>
      </c>
      <c r="AO35" s="27"/>
      <c r="AP35" s="27">
        <v>169</v>
      </c>
    </row>
    <row r="36" spans="2:42" ht="13.5" thickBot="1">
      <c r="B36" s="3">
        <v>340</v>
      </c>
      <c r="C36" s="3">
        <v>29.5</v>
      </c>
      <c r="D36" s="122">
        <v>-222.1</v>
      </c>
      <c r="E36" s="4">
        <v>-10.59</v>
      </c>
      <c r="F36" s="5">
        <v>34</v>
      </c>
      <c r="G36">
        <v>-7.6</v>
      </c>
      <c r="H36" s="19"/>
      <c r="J36" s="5">
        <v>167</v>
      </c>
      <c r="L36" s="27" t="s">
        <v>1780</v>
      </c>
      <c r="N36" s="3">
        <v>340</v>
      </c>
      <c r="P36" s="27">
        <v>222.1</v>
      </c>
      <c r="Q36">
        <v>-1</v>
      </c>
      <c r="S36" s="19"/>
      <c r="U36" s="37">
        <v>168</v>
      </c>
      <c r="V36" s="27" t="s">
        <v>2492</v>
      </c>
      <c r="W36" s="27"/>
      <c r="X36" s="27" t="s">
        <v>2493</v>
      </c>
      <c r="Y36" s="27"/>
      <c r="Z36" s="27" t="s">
        <v>2494</v>
      </c>
      <c r="AA36" s="27"/>
      <c r="AB36" s="27" t="s">
        <v>2495</v>
      </c>
      <c r="AC36" s="27" t="s">
        <v>2496</v>
      </c>
      <c r="AD36" s="27" t="s">
        <v>2497</v>
      </c>
      <c r="AE36" s="27" t="s">
        <v>2498</v>
      </c>
      <c r="AF36" s="27" t="s">
        <v>2497</v>
      </c>
      <c r="AG36" s="27" t="s">
        <v>2499</v>
      </c>
      <c r="AH36" s="27" t="s">
        <v>2500</v>
      </c>
      <c r="AI36" s="27" t="s">
        <v>2501</v>
      </c>
      <c r="AJ36" s="27" t="s">
        <v>2502</v>
      </c>
      <c r="AK36" s="27" t="s">
        <v>2503</v>
      </c>
      <c r="AL36" s="27" t="s">
        <v>2166</v>
      </c>
      <c r="AM36" s="27" t="s">
        <v>2504</v>
      </c>
      <c r="AN36" s="27" t="s">
        <v>2505</v>
      </c>
      <c r="AO36" s="27">
        <v>67.5</v>
      </c>
      <c r="AP36" s="27">
        <v>168</v>
      </c>
    </row>
    <row r="37" spans="2:42" ht="13.5" thickBot="1">
      <c r="B37" s="3">
        <v>343</v>
      </c>
      <c r="C37" s="3">
        <v>30</v>
      </c>
      <c r="D37" s="122">
        <v>-221.55</v>
      </c>
      <c r="E37" s="4">
        <v>-10.55</v>
      </c>
      <c r="F37" s="5">
        <v>35</v>
      </c>
      <c r="H37" s="19">
        <v>67</v>
      </c>
      <c r="I37">
        <v>162</v>
      </c>
      <c r="J37" s="5">
        <v>166</v>
      </c>
      <c r="L37" s="27" t="s">
        <v>1781</v>
      </c>
      <c r="N37" s="3">
        <v>343</v>
      </c>
      <c r="P37" s="27">
        <v>221.55</v>
      </c>
      <c r="Q37">
        <v>-1</v>
      </c>
      <c r="S37" s="19" t="s">
        <v>1782</v>
      </c>
      <c r="U37" s="37">
        <v>167</v>
      </c>
      <c r="V37" s="27" t="s">
        <v>2507</v>
      </c>
      <c r="W37" s="27" t="s">
        <v>2508</v>
      </c>
      <c r="X37" s="27" t="s">
        <v>2341</v>
      </c>
      <c r="Y37" s="27" t="s">
        <v>2509</v>
      </c>
      <c r="Z37" s="27" t="s">
        <v>2510</v>
      </c>
      <c r="AA37" s="27" t="s">
        <v>2511</v>
      </c>
      <c r="AB37" s="27" t="s">
        <v>2512</v>
      </c>
      <c r="AC37" s="27" t="s">
        <v>2513</v>
      </c>
      <c r="AD37" s="27"/>
      <c r="AE37" s="27" t="s">
        <v>2514</v>
      </c>
      <c r="AF37" s="27" t="s">
        <v>2515</v>
      </c>
      <c r="AG37" s="27" t="s">
        <v>2516</v>
      </c>
      <c r="AH37" s="27" t="s">
        <v>2517</v>
      </c>
      <c r="AI37" s="27"/>
      <c r="AJ37" s="27" t="s">
        <v>2518</v>
      </c>
      <c r="AK37" s="27" t="s">
        <v>2519</v>
      </c>
      <c r="AL37" s="27" t="s">
        <v>2098</v>
      </c>
      <c r="AM37" s="27" t="s">
        <v>2520</v>
      </c>
      <c r="AN37" s="27" t="s">
        <v>2112</v>
      </c>
      <c r="AO37" s="27"/>
      <c r="AP37" s="27">
        <v>167</v>
      </c>
    </row>
    <row r="38" spans="2:42" ht="13.5" thickBot="1">
      <c r="B38" s="3">
        <v>346</v>
      </c>
      <c r="C38" s="3">
        <v>30.5</v>
      </c>
      <c r="D38" s="122">
        <v>-221</v>
      </c>
      <c r="E38" s="4">
        <v>-10.51</v>
      </c>
      <c r="F38" s="5">
        <v>36</v>
      </c>
      <c r="H38" s="19"/>
      <c r="J38" s="5">
        <v>165</v>
      </c>
      <c r="L38" s="27" t="s">
        <v>1783</v>
      </c>
      <c r="N38" s="3">
        <v>346</v>
      </c>
      <c r="P38" s="27">
        <v>221</v>
      </c>
      <c r="Q38">
        <v>-1</v>
      </c>
      <c r="S38" s="19"/>
      <c r="U38" s="37">
        <v>166</v>
      </c>
      <c r="V38" s="27" t="s">
        <v>2521</v>
      </c>
      <c r="W38" s="27"/>
      <c r="X38" s="27" t="s">
        <v>2522</v>
      </c>
      <c r="Y38" s="27"/>
      <c r="Z38" s="27" t="s">
        <v>2523</v>
      </c>
      <c r="AA38" s="27" t="s">
        <v>2524</v>
      </c>
      <c r="AB38" s="27" t="s">
        <v>2525</v>
      </c>
      <c r="AC38" s="27" t="s">
        <v>2514</v>
      </c>
      <c r="AD38" s="27" t="s">
        <v>2515</v>
      </c>
      <c r="AE38" s="27" t="s">
        <v>2526</v>
      </c>
      <c r="AF38" s="27"/>
      <c r="AG38" s="27" t="s">
        <v>2527</v>
      </c>
      <c r="AH38" s="27" t="s">
        <v>2528</v>
      </c>
      <c r="AI38" s="27" t="s">
        <v>2529</v>
      </c>
      <c r="AJ38" s="27" t="s">
        <v>2530</v>
      </c>
      <c r="AK38" s="27" t="s">
        <v>2531</v>
      </c>
      <c r="AL38" s="27" t="s">
        <v>2532</v>
      </c>
      <c r="AM38" s="27" t="s">
        <v>2533</v>
      </c>
      <c r="AN38" s="27" t="s">
        <v>2534</v>
      </c>
      <c r="AO38" s="27">
        <v>67</v>
      </c>
      <c r="AP38" s="27">
        <v>166</v>
      </c>
    </row>
    <row r="39" spans="2:42" ht="13.5" thickBot="1">
      <c r="B39" s="3">
        <v>349</v>
      </c>
      <c r="C39" s="3">
        <v>31</v>
      </c>
      <c r="D39" s="122">
        <v>-220.45</v>
      </c>
      <c r="E39" s="4">
        <v>-10.47</v>
      </c>
      <c r="F39" s="5">
        <v>37</v>
      </c>
      <c r="H39" s="19">
        <v>66.5</v>
      </c>
      <c r="I39">
        <v>161</v>
      </c>
      <c r="J39" s="5">
        <v>164</v>
      </c>
      <c r="L39" s="27" t="s">
        <v>1784</v>
      </c>
      <c r="N39" s="3">
        <v>349</v>
      </c>
      <c r="P39" s="27">
        <v>220.45</v>
      </c>
      <c r="Q39">
        <v>-1</v>
      </c>
      <c r="S39" s="19" t="s">
        <v>1785</v>
      </c>
      <c r="U39" s="37">
        <v>165</v>
      </c>
      <c r="V39" s="27" t="s">
        <v>2535</v>
      </c>
      <c r="W39" s="27"/>
      <c r="X39" s="27" t="s">
        <v>2536</v>
      </c>
      <c r="Y39" s="27"/>
      <c r="Z39" s="27" t="s">
        <v>2537</v>
      </c>
      <c r="AA39" s="27" t="s">
        <v>2538</v>
      </c>
      <c r="AB39" s="27" t="s">
        <v>2539</v>
      </c>
      <c r="AC39" s="27" t="s">
        <v>2526</v>
      </c>
      <c r="AD39" s="27"/>
      <c r="AE39" s="27" t="s">
        <v>2540</v>
      </c>
      <c r="AF39" s="27" t="s">
        <v>2541</v>
      </c>
      <c r="AG39" s="27" t="s">
        <v>2542</v>
      </c>
      <c r="AH39" s="27"/>
      <c r="AI39" s="27"/>
      <c r="AJ39" s="27" t="s">
        <v>2543</v>
      </c>
      <c r="AK39" s="27" t="s">
        <v>2544</v>
      </c>
      <c r="AL39" s="27" t="s">
        <v>2503</v>
      </c>
      <c r="AM39" s="27" t="s">
        <v>2545</v>
      </c>
      <c r="AN39" s="27" t="s">
        <v>2546</v>
      </c>
      <c r="AO39" s="27"/>
      <c r="AP39" s="27">
        <v>165</v>
      </c>
    </row>
    <row r="40" spans="2:42" ht="13.5" thickBot="1">
      <c r="B40" s="3">
        <v>352</v>
      </c>
      <c r="C40" s="3">
        <v>31.5</v>
      </c>
      <c r="D40" s="122">
        <v>-219.9</v>
      </c>
      <c r="E40" s="4">
        <v>-10.43</v>
      </c>
      <c r="F40" s="5">
        <v>38</v>
      </c>
      <c r="H40" s="19">
        <v>66</v>
      </c>
      <c r="J40" s="5">
        <v>163</v>
      </c>
      <c r="L40" s="27" t="s">
        <v>1786</v>
      </c>
      <c r="N40" s="3">
        <v>352</v>
      </c>
      <c r="P40" s="27">
        <v>219.9</v>
      </c>
      <c r="Q40">
        <v>-1</v>
      </c>
      <c r="S40" s="19" t="s">
        <v>1787</v>
      </c>
      <c r="U40" s="37">
        <v>164</v>
      </c>
      <c r="V40" s="27" t="s">
        <v>2547</v>
      </c>
      <c r="W40" s="27"/>
      <c r="X40" s="27" t="s">
        <v>2548</v>
      </c>
      <c r="Y40" s="27"/>
      <c r="Z40" s="27" t="s">
        <v>2108</v>
      </c>
      <c r="AA40" s="27" t="s">
        <v>2549</v>
      </c>
      <c r="AB40" s="27" t="s">
        <v>2550</v>
      </c>
      <c r="AC40" s="27" t="s">
        <v>2551</v>
      </c>
      <c r="AD40" s="27" t="s">
        <v>2541</v>
      </c>
      <c r="AE40" s="27" t="s">
        <v>2552</v>
      </c>
      <c r="AF40" s="27" t="s">
        <v>2553</v>
      </c>
      <c r="AG40" s="27" t="s">
        <v>2554</v>
      </c>
      <c r="AH40" s="27" t="s">
        <v>2555</v>
      </c>
      <c r="AI40" s="27" t="s">
        <v>2556</v>
      </c>
      <c r="AJ40" s="27" t="s">
        <v>2557</v>
      </c>
      <c r="AK40" s="27" t="s">
        <v>2558</v>
      </c>
      <c r="AL40" s="27" t="s">
        <v>2519</v>
      </c>
      <c r="AM40" s="27" t="s">
        <v>2559</v>
      </c>
      <c r="AN40" s="27" t="s">
        <v>2560</v>
      </c>
      <c r="AO40" s="27">
        <v>66.5</v>
      </c>
      <c r="AP40" s="27">
        <v>164</v>
      </c>
    </row>
    <row r="41" spans="2:42" ht="13.5" thickBot="1">
      <c r="B41" s="3">
        <v>355</v>
      </c>
      <c r="C41" s="3">
        <v>32</v>
      </c>
      <c r="D41" s="122">
        <v>-219.35</v>
      </c>
      <c r="E41" s="4">
        <v>-10.39</v>
      </c>
      <c r="F41" s="5">
        <v>39</v>
      </c>
      <c r="H41" s="19"/>
      <c r="I41">
        <v>160</v>
      </c>
      <c r="J41" s="5">
        <v>162</v>
      </c>
      <c r="L41" s="27" t="s">
        <v>1788</v>
      </c>
      <c r="N41" s="3">
        <v>355</v>
      </c>
      <c r="P41" s="27">
        <v>219.35</v>
      </c>
      <c r="Q41">
        <v>-1</v>
      </c>
      <c r="S41" s="19"/>
      <c r="U41" s="37">
        <v>163</v>
      </c>
      <c r="V41" s="27" t="s">
        <v>2561</v>
      </c>
      <c r="W41" s="27"/>
      <c r="X41" s="27" t="s">
        <v>2562</v>
      </c>
      <c r="Y41" s="27" t="s">
        <v>2563</v>
      </c>
      <c r="Z41" s="27" t="s">
        <v>2564</v>
      </c>
      <c r="AA41" s="38"/>
      <c r="AB41" s="27" t="s">
        <v>2565</v>
      </c>
      <c r="AC41" s="27" t="s">
        <v>2566</v>
      </c>
      <c r="AD41" s="27" t="s">
        <v>2553</v>
      </c>
      <c r="AE41" s="27" t="s">
        <v>2567</v>
      </c>
      <c r="AF41" s="38"/>
      <c r="AG41" s="27" t="s">
        <v>2568</v>
      </c>
      <c r="AH41" s="27" t="s">
        <v>2569</v>
      </c>
      <c r="AI41" s="27"/>
      <c r="AJ41" s="27" t="s">
        <v>2570</v>
      </c>
      <c r="AK41" s="27" t="s">
        <v>2571</v>
      </c>
      <c r="AL41" s="27" t="s">
        <v>2531</v>
      </c>
      <c r="AM41" s="27" t="s">
        <v>2572</v>
      </c>
      <c r="AN41" s="27" t="s">
        <v>2573</v>
      </c>
      <c r="AO41" s="27">
        <v>66</v>
      </c>
      <c r="AP41" s="27">
        <v>163</v>
      </c>
    </row>
    <row r="42" spans="2:42" ht="13.5" thickBot="1">
      <c r="B42" s="3">
        <v>358</v>
      </c>
      <c r="C42" s="3">
        <v>32.5</v>
      </c>
      <c r="D42" s="122">
        <v>-218.8</v>
      </c>
      <c r="E42" s="4">
        <v>-10.35</v>
      </c>
      <c r="F42" s="5">
        <v>40</v>
      </c>
      <c r="G42">
        <v>-7.7</v>
      </c>
      <c r="H42" s="19">
        <v>65.5</v>
      </c>
      <c r="J42" s="5">
        <v>161</v>
      </c>
      <c r="L42" s="27" t="s">
        <v>1789</v>
      </c>
      <c r="N42" s="3">
        <v>358</v>
      </c>
      <c r="P42" s="27">
        <v>218.8</v>
      </c>
      <c r="Q42">
        <v>-1</v>
      </c>
      <c r="S42" s="19" t="s">
        <v>1790</v>
      </c>
      <c r="U42" s="37">
        <v>162</v>
      </c>
      <c r="V42" s="27" t="s">
        <v>2575</v>
      </c>
      <c r="W42" s="27"/>
      <c r="X42" s="27" t="s">
        <v>2576</v>
      </c>
      <c r="Y42" s="38"/>
      <c r="Z42" s="27" t="s">
        <v>2577</v>
      </c>
      <c r="AA42" s="27" t="s">
        <v>2578</v>
      </c>
      <c r="AB42" s="27" t="s">
        <v>2579</v>
      </c>
      <c r="AC42" s="27" t="s">
        <v>2580</v>
      </c>
      <c r="AD42" s="38"/>
      <c r="AE42" s="27" t="s">
        <v>2581</v>
      </c>
      <c r="AF42" s="27" t="s">
        <v>2582</v>
      </c>
      <c r="AG42" s="27" t="s">
        <v>2583</v>
      </c>
      <c r="AH42" s="27" t="s">
        <v>2584</v>
      </c>
      <c r="AI42" s="27" t="s">
        <v>2585</v>
      </c>
      <c r="AJ42" s="27" t="s">
        <v>2586</v>
      </c>
      <c r="AK42" s="27" t="s">
        <v>2587</v>
      </c>
      <c r="AL42" s="27" t="s">
        <v>2588</v>
      </c>
      <c r="AM42" s="27" t="s">
        <v>2589</v>
      </c>
      <c r="AN42" s="27" t="s">
        <v>2370</v>
      </c>
      <c r="AO42" s="27"/>
      <c r="AP42" s="27">
        <v>162</v>
      </c>
    </row>
    <row r="43" spans="2:42" ht="13.5" thickBot="1">
      <c r="B43" s="3">
        <v>361</v>
      </c>
      <c r="C43" s="3">
        <v>33</v>
      </c>
      <c r="D43" s="122">
        <v>-218.25</v>
      </c>
      <c r="E43" s="4">
        <v>-10.31</v>
      </c>
      <c r="F43" s="5">
        <v>41</v>
      </c>
      <c r="H43" s="19"/>
      <c r="J43" s="5">
        <v>160</v>
      </c>
      <c r="L43" s="27" t="s">
        <v>1791</v>
      </c>
      <c r="N43" s="3">
        <v>361</v>
      </c>
      <c r="P43" s="27">
        <v>218.25</v>
      </c>
      <c r="Q43">
        <v>-1</v>
      </c>
      <c r="S43" s="19"/>
      <c r="U43" s="37">
        <v>161</v>
      </c>
      <c r="V43" s="27" t="s">
        <v>2590</v>
      </c>
      <c r="W43" s="27" t="s">
        <v>2591</v>
      </c>
      <c r="X43" s="27" t="s">
        <v>2592</v>
      </c>
      <c r="Y43" s="27"/>
      <c r="Z43" s="27" t="s">
        <v>2593</v>
      </c>
      <c r="AA43" s="27" t="s">
        <v>2594</v>
      </c>
      <c r="AB43" s="27" t="s">
        <v>2595</v>
      </c>
      <c r="AC43" s="27" t="s">
        <v>2596</v>
      </c>
      <c r="AD43" s="27" t="s">
        <v>2582</v>
      </c>
      <c r="AE43" s="27" t="s">
        <v>2597</v>
      </c>
      <c r="AF43" s="27"/>
      <c r="AG43" s="27" t="s">
        <v>2598</v>
      </c>
      <c r="AH43" s="27" t="s">
        <v>2599</v>
      </c>
      <c r="AI43" s="27"/>
      <c r="AJ43" s="27" t="s">
        <v>2600</v>
      </c>
      <c r="AK43" s="27" t="s">
        <v>2601</v>
      </c>
      <c r="AL43" s="27" t="s">
        <v>2602</v>
      </c>
      <c r="AM43" s="27" t="s">
        <v>2603</v>
      </c>
      <c r="AN43" s="27" t="s">
        <v>2604</v>
      </c>
      <c r="AO43" s="27">
        <v>65.5</v>
      </c>
      <c r="AP43" s="27">
        <v>161</v>
      </c>
    </row>
    <row r="44" spans="2:42" ht="13.5" thickBot="1">
      <c r="B44" s="3">
        <v>364</v>
      </c>
      <c r="C44" s="3">
        <v>33.5</v>
      </c>
      <c r="D44" s="122">
        <v>-217.7</v>
      </c>
      <c r="E44" s="4">
        <v>-10.27</v>
      </c>
      <c r="F44" s="5">
        <v>42</v>
      </c>
      <c r="H44" s="19">
        <v>65</v>
      </c>
      <c r="I44">
        <v>159</v>
      </c>
      <c r="J44" s="5">
        <v>159</v>
      </c>
      <c r="L44" s="27" t="s">
        <v>1792</v>
      </c>
      <c r="N44" s="3">
        <v>364</v>
      </c>
      <c r="P44" s="27">
        <v>217.7</v>
      </c>
      <c r="Q44">
        <v>-1</v>
      </c>
      <c r="S44" s="19" t="s">
        <v>1793</v>
      </c>
      <c r="U44" s="37">
        <v>160</v>
      </c>
      <c r="V44" s="27" t="s">
        <v>2605</v>
      </c>
      <c r="W44" s="27"/>
      <c r="X44" s="27" t="s">
        <v>2606</v>
      </c>
      <c r="Y44" s="27"/>
      <c r="Z44" s="27" t="s">
        <v>2607</v>
      </c>
      <c r="AA44" s="27" t="s">
        <v>2608</v>
      </c>
      <c r="AB44" s="27" t="s">
        <v>2609</v>
      </c>
      <c r="AC44" s="27" t="s">
        <v>2610</v>
      </c>
      <c r="AD44" s="27"/>
      <c r="AE44" s="27" t="s">
        <v>2611</v>
      </c>
      <c r="AF44" s="27" t="s">
        <v>2612</v>
      </c>
      <c r="AG44" s="27" t="s">
        <v>2613</v>
      </c>
      <c r="AH44" s="27" t="s">
        <v>2614</v>
      </c>
      <c r="AI44" s="27"/>
      <c r="AJ44" s="27" t="s">
        <v>2615</v>
      </c>
      <c r="AK44" s="27" t="s">
        <v>2616</v>
      </c>
      <c r="AL44" s="27" t="s">
        <v>2617</v>
      </c>
      <c r="AM44" s="27" t="s">
        <v>2618</v>
      </c>
      <c r="AN44" s="27" t="s">
        <v>2619</v>
      </c>
      <c r="AO44" s="27"/>
      <c r="AP44" s="27">
        <v>160</v>
      </c>
    </row>
    <row r="45" spans="2:42" ht="13.5" thickBot="1">
      <c r="B45" s="3">
        <v>367</v>
      </c>
      <c r="C45" s="3">
        <v>34</v>
      </c>
      <c r="D45" s="122">
        <v>-217.15</v>
      </c>
      <c r="E45" s="4">
        <v>-10.23</v>
      </c>
      <c r="F45" s="5">
        <v>43</v>
      </c>
      <c r="H45" s="19">
        <v>64.5</v>
      </c>
      <c r="J45" s="5">
        <v>158</v>
      </c>
      <c r="L45" s="27" t="s">
        <v>1794</v>
      </c>
      <c r="N45" s="3">
        <v>367</v>
      </c>
      <c r="P45" s="27">
        <v>217.15</v>
      </c>
      <c r="Q45">
        <v>-1</v>
      </c>
      <c r="S45" s="19" t="s">
        <v>1795</v>
      </c>
      <c r="U45" s="37">
        <v>159</v>
      </c>
      <c r="V45" s="27" t="s">
        <v>2620</v>
      </c>
      <c r="W45" s="27"/>
      <c r="X45" s="27" t="s">
        <v>2301</v>
      </c>
      <c r="Y45" s="27" t="s">
        <v>2621</v>
      </c>
      <c r="Z45" s="27" t="s">
        <v>2622</v>
      </c>
      <c r="AA45" s="27" t="s">
        <v>2623</v>
      </c>
      <c r="AB45" s="27" t="s">
        <v>2624</v>
      </c>
      <c r="AC45" s="27" t="s">
        <v>2625</v>
      </c>
      <c r="AD45" s="27" t="s">
        <v>2612</v>
      </c>
      <c r="AE45" s="27" t="s">
        <v>2626</v>
      </c>
      <c r="AF45" s="27" t="s">
        <v>2627</v>
      </c>
      <c r="AG45" s="27" t="s">
        <v>2628</v>
      </c>
      <c r="AH45" s="27" t="s">
        <v>2629</v>
      </c>
      <c r="AI45" s="27" t="s">
        <v>2630</v>
      </c>
      <c r="AJ45" s="27" t="s">
        <v>2631</v>
      </c>
      <c r="AK45" s="27" t="s">
        <v>2632</v>
      </c>
      <c r="AL45" s="27" t="s">
        <v>2633</v>
      </c>
      <c r="AM45" s="27" t="s">
        <v>2634</v>
      </c>
      <c r="AN45" s="27" t="s">
        <v>2635</v>
      </c>
      <c r="AO45" s="27">
        <v>65</v>
      </c>
      <c r="AP45" s="27">
        <v>159</v>
      </c>
    </row>
    <row r="46" spans="2:42" ht="13.5" thickBot="1">
      <c r="B46" s="3">
        <v>370</v>
      </c>
      <c r="C46" s="3">
        <v>34.5</v>
      </c>
      <c r="D46" s="122">
        <v>-216.6</v>
      </c>
      <c r="E46" s="4">
        <v>-10.19</v>
      </c>
      <c r="F46" s="5">
        <v>44</v>
      </c>
      <c r="H46" s="19"/>
      <c r="I46">
        <v>158</v>
      </c>
      <c r="J46" s="5">
        <v>157</v>
      </c>
      <c r="L46" s="27" t="s">
        <v>1796</v>
      </c>
      <c r="N46" s="3">
        <v>370</v>
      </c>
      <c r="P46" s="27">
        <v>216.6</v>
      </c>
      <c r="Q46">
        <v>-1</v>
      </c>
      <c r="S46" s="19"/>
      <c r="U46" s="37">
        <v>158</v>
      </c>
      <c r="V46" s="27" t="s">
        <v>2637</v>
      </c>
      <c r="W46" s="27"/>
      <c r="X46" s="27" t="s">
        <v>2638</v>
      </c>
      <c r="Y46" s="27"/>
      <c r="Z46" s="27" t="s">
        <v>2639</v>
      </c>
      <c r="AA46" s="27" t="s">
        <v>2640</v>
      </c>
      <c r="AB46" s="27" t="s">
        <v>2641</v>
      </c>
      <c r="AC46" s="27" t="s">
        <v>2642</v>
      </c>
      <c r="AD46" s="27"/>
      <c r="AE46" s="27" t="s">
        <v>2643</v>
      </c>
      <c r="AF46" s="27"/>
      <c r="AG46" s="27" t="s">
        <v>2644</v>
      </c>
      <c r="AH46" s="27" t="s">
        <v>2645</v>
      </c>
      <c r="AI46" s="27"/>
      <c r="AJ46" s="27" t="s">
        <v>2646</v>
      </c>
      <c r="AK46" s="27" t="s">
        <v>2647</v>
      </c>
      <c r="AL46" s="27" t="s">
        <v>2648</v>
      </c>
      <c r="AM46" s="27" t="s">
        <v>2649</v>
      </c>
      <c r="AN46" s="27" t="s">
        <v>2650</v>
      </c>
      <c r="AO46" s="27">
        <v>64.5</v>
      </c>
      <c r="AP46" s="27">
        <v>158</v>
      </c>
    </row>
    <row r="47" spans="2:42" ht="13.5" thickBot="1">
      <c r="B47" s="3">
        <v>373</v>
      </c>
      <c r="C47" s="3">
        <v>35</v>
      </c>
      <c r="D47" s="122">
        <v>-216.05</v>
      </c>
      <c r="E47" s="4">
        <v>-10.15</v>
      </c>
      <c r="F47" s="5">
        <v>45</v>
      </c>
      <c r="H47" s="19">
        <v>64</v>
      </c>
      <c r="J47" s="5">
        <v>156</v>
      </c>
      <c r="L47" s="27" t="s">
        <v>1797</v>
      </c>
      <c r="N47" s="3">
        <v>373</v>
      </c>
      <c r="P47" s="27">
        <v>216.05</v>
      </c>
      <c r="Q47">
        <v>-1</v>
      </c>
      <c r="S47" s="19" t="s">
        <v>1798</v>
      </c>
      <c r="U47" s="37">
        <v>157</v>
      </c>
      <c r="V47" s="27" t="s">
        <v>2651</v>
      </c>
      <c r="W47" s="27"/>
      <c r="X47" s="27" t="s">
        <v>2652</v>
      </c>
      <c r="Y47" s="27"/>
      <c r="Z47" s="27" t="s">
        <v>2653</v>
      </c>
      <c r="AA47" s="27" t="s">
        <v>2654</v>
      </c>
      <c r="AB47" s="27" t="s">
        <v>2655</v>
      </c>
      <c r="AC47" s="27" t="s">
        <v>2656</v>
      </c>
      <c r="AD47" s="27" t="s">
        <v>2627</v>
      </c>
      <c r="AE47" s="27" t="s">
        <v>2657</v>
      </c>
      <c r="AF47" s="27" t="s">
        <v>2658</v>
      </c>
      <c r="AG47" s="27" t="s">
        <v>2659</v>
      </c>
      <c r="AH47" s="27" t="s">
        <v>2660</v>
      </c>
      <c r="AI47" s="27" t="s">
        <v>2661</v>
      </c>
      <c r="AJ47" s="27" t="s">
        <v>2662</v>
      </c>
      <c r="AK47" s="27" t="s">
        <v>2663</v>
      </c>
      <c r="AL47" s="27" t="s">
        <v>2664</v>
      </c>
      <c r="AM47" s="27" t="s">
        <v>2665</v>
      </c>
      <c r="AN47" s="27" t="s">
        <v>2666</v>
      </c>
      <c r="AO47" s="27"/>
      <c r="AP47" s="27">
        <v>157</v>
      </c>
    </row>
    <row r="48" spans="2:42" ht="13.5" thickBot="1">
      <c r="B48" s="3">
        <v>376</v>
      </c>
      <c r="C48" s="3">
        <v>35.5</v>
      </c>
      <c r="D48" s="122">
        <v>-215.5</v>
      </c>
      <c r="E48" s="4">
        <v>-10.11</v>
      </c>
      <c r="F48" s="5">
        <v>46</v>
      </c>
      <c r="H48" s="19"/>
      <c r="I48">
        <v>157</v>
      </c>
      <c r="J48" s="5">
        <v>155</v>
      </c>
      <c r="L48" s="27" t="s">
        <v>1799</v>
      </c>
      <c r="N48" s="3">
        <v>376</v>
      </c>
      <c r="P48" s="27">
        <v>215.5</v>
      </c>
      <c r="Q48">
        <v>-1</v>
      </c>
      <c r="S48" s="19"/>
      <c r="U48" s="37">
        <v>156</v>
      </c>
      <c r="V48" s="27" t="s">
        <v>2667</v>
      </c>
      <c r="W48" s="27"/>
      <c r="X48" s="27" t="s">
        <v>2668</v>
      </c>
      <c r="Y48" s="27" t="s">
        <v>2669</v>
      </c>
      <c r="Z48" s="27" t="s">
        <v>2670</v>
      </c>
      <c r="AA48" s="27" t="s">
        <v>2671</v>
      </c>
      <c r="AB48" s="27" t="s">
        <v>2672</v>
      </c>
      <c r="AC48" s="27" t="s">
        <v>2673</v>
      </c>
      <c r="AD48" s="27" t="s">
        <v>2658</v>
      </c>
      <c r="AE48" s="27" t="s">
        <v>2674</v>
      </c>
      <c r="AF48" s="27"/>
      <c r="AG48" s="27" t="s">
        <v>2675</v>
      </c>
      <c r="AH48" s="27" t="s">
        <v>2676</v>
      </c>
      <c r="AI48" s="27"/>
      <c r="AJ48" s="27" t="s">
        <v>2677</v>
      </c>
      <c r="AK48" s="27" t="s">
        <v>2678</v>
      </c>
      <c r="AL48" s="27" t="s">
        <v>2679</v>
      </c>
      <c r="AM48" s="27" t="s">
        <v>2680</v>
      </c>
      <c r="AN48" s="27" t="s">
        <v>2681</v>
      </c>
      <c r="AO48" s="27">
        <v>64</v>
      </c>
      <c r="AP48" s="27">
        <v>156</v>
      </c>
    </row>
    <row r="49" spans="2:42" ht="13.5" thickBot="1">
      <c r="B49" s="3">
        <v>379</v>
      </c>
      <c r="C49" s="3">
        <v>36</v>
      </c>
      <c r="D49" s="122">
        <v>-214.95</v>
      </c>
      <c r="E49" s="4">
        <v>-10.07</v>
      </c>
      <c r="F49" s="5">
        <v>47</v>
      </c>
      <c r="G49">
        <v>-7.8</v>
      </c>
      <c r="H49" s="19">
        <v>63.5</v>
      </c>
      <c r="J49" s="5">
        <v>154</v>
      </c>
      <c r="L49" s="27" t="s">
        <v>1800</v>
      </c>
      <c r="N49" s="3">
        <v>379</v>
      </c>
      <c r="P49" s="27">
        <v>214.95</v>
      </c>
      <c r="Q49">
        <v>-1</v>
      </c>
      <c r="S49" s="19" t="s">
        <v>1801</v>
      </c>
      <c r="U49" s="37">
        <v>155</v>
      </c>
      <c r="V49" s="27" t="s">
        <v>2683</v>
      </c>
      <c r="W49" s="27"/>
      <c r="X49" s="27" t="s">
        <v>2684</v>
      </c>
      <c r="Y49" s="27"/>
      <c r="Z49" s="27" t="s">
        <v>2685</v>
      </c>
      <c r="AA49" s="27" t="s">
        <v>2686</v>
      </c>
      <c r="AB49" s="27" t="s">
        <v>2687</v>
      </c>
      <c r="AC49" s="27" t="s">
        <v>2688</v>
      </c>
      <c r="AD49" s="27"/>
      <c r="AE49" s="27" t="s">
        <v>2689</v>
      </c>
      <c r="AF49" s="27" t="s">
        <v>2690</v>
      </c>
      <c r="AG49" s="27" t="s">
        <v>2691</v>
      </c>
      <c r="AH49" s="27" t="s">
        <v>2692</v>
      </c>
      <c r="AI49" s="27" t="s">
        <v>2693</v>
      </c>
      <c r="AJ49" s="27" t="s">
        <v>2694</v>
      </c>
      <c r="AK49" s="27" t="s">
        <v>2695</v>
      </c>
      <c r="AL49" s="27" t="s">
        <v>2696</v>
      </c>
      <c r="AM49" s="27" t="s">
        <v>2697</v>
      </c>
      <c r="AN49" s="27" t="s">
        <v>2698</v>
      </c>
      <c r="AO49" s="27"/>
      <c r="AP49" s="27">
        <v>155</v>
      </c>
    </row>
    <row r="50" spans="2:42" ht="13.5" thickBot="1">
      <c r="B50" s="3">
        <v>382</v>
      </c>
      <c r="C50" s="3">
        <v>36.5</v>
      </c>
      <c r="D50" s="122">
        <v>-214.4</v>
      </c>
      <c r="E50" s="4">
        <v>-10.029999999999999</v>
      </c>
      <c r="F50" s="5">
        <v>48</v>
      </c>
      <c r="H50" s="19">
        <v>63</v>
      </c>
      <c r="I50">
        <v>156</v>
      </c>
      <c r="J50" s="5">
        <v>153</v>
      </c>
      <c r="L50" s="27" t="s">
        <v>1802</v>
      </c>
      <c r="N50" s="3">
        <v>382</v>
      </c>
      <c r="P50" s="27">
        <v>214.4</v>
      </c>
      <c r="Q50">
        <v>-1</v>
      </c>
      <c r="S50" s="19" t="s">
        <v>1803</v>
      </c>
      <c r="U50" s="37">
        <v>154</v>
      </c>
      <c r="V50" s="27" t="s">
        <v>2699</v>
      </c>
      <c r="W50" s="27" t="s">
        <v>2700</v>
      </c>
      <c r="X50" s="27" t="s">
        <v>2701</v>
      </c>
      <c r="Y50" s="27"/>
      <c r="Z50" s="27" t="s">
        <v>2702</v>
      </c>
      <c r="AA50" s="27" t="s">
        <v>2703</v>
      </c>
      <c r="AB50" s="27" t="s">
        <v>2704</v>
      </c>
      <c r="AC50" s="27" t="s">
        <v>2705</v>
      </c>
      <c r="AD50" s="27" t="s">
        <v>2690</v>
      </c>
      <c r="AE50" s="27" t="s">
        <v>2706</v>
      </c>
      <c r="AF50" s="27" t="s">
        <v>2707</v>
      </c>
      <c r="AG50" s="27" t="s">
        <v>2708</v>
      </c>
      <c r="AH50" s="27" t="s">
        <v>2709</v>
      </c>
      <c r="AI50" s="27"/>
      <c r="AJ50" s="27" t="s">
        <v>2710</v>
      </c>
      <c r="AK50" s="27" t="s">
        <v>2711</v>
      </c>
      <c r="AL50" s="27" t="s">
        <v>2712</v>
      </c>
      <c r="AM50" s="27" t="s">
        <v>2713</v>
      </c>
      <c r="AN50" s="27" t="s">
        <v>2714</v>
      </c>
      <c r="AO50" s="27">
        <v>63.5</v>
      </c>
      <c r="AP50" s="27">
        <v>154</v>
      </c>
    </row>
    <row r="51" spans="2:42" ht="13.5" thickBot="1">
      <c r="B51" s="3">
        <v>385</v>
      </c>
      <c r="C51" s="3">
        <v>37</v>
      </c>
      <c r="D51" s="122">
        <v>-213.85</v>
      </c>
      <c r="E51" s="4">
        <v>-9.99</v>
      </c>
      <c r="F51" s="5">
        <v>49</v>
      </c>
      <c r="H51" s="19"/>
      <c r="J51" s="5">
        <v>152</v>
      </c>
      <c r="L51" s="27" t="s">
        <v>1804</v>
      </c>
      <c r="N51" s="3">
        <v>385</v>
      </c>
      <c r="P51" s="27">
        <v>213.85</v>
      </c>
      <c r="Q51">
        <v>-1</v>
      </c>
      <c r="S51" s="19"/>
      <c r="U51" s="37">
        <v>153</v>
      </c>
      <c r="V51" s="27" t="s">
        <v>2715</v>
      </c>
      <c r="W51" s="27"/>
      <c r="X51" s="27" t="s">
        <v>2716</v>
      </c>
      <c r="Y51" s="27"/>
      <c r="Z51" s="27" t="s">
        <v>2717</v>
      </c>
      <c r="AA51" s="27" t="s">
        <v>2718</v>
      </c>
      <c r="AB51" s="27" t="s">
        <v>2719</v>
      </c>
      <c r="AC51" s="27" t="s">
        <v>2720</v>
      </c>
      <c r="AD51" s="27"/>
      <c r="AE51" s="27" t="s">
        <v>2721</v>
      </c>
      <c r="AF51" s="27"/>
      <c r="AG51" s="27" t="s">
        <v>2722</v>
      </c>
      <c r="AH51" s="27"/>
      <c r="AI51" s="27" t="s">
        <v>2723</v>
      </c>
      <c r="AJ51" s="27" t="s">
        <v>2724</v>
      </c>
      <c r="AK51" s="27" t="s">
        <v>2725</v>
      </c>
      <c r="AL51" s="27" t="s">
        <v>2726</v>
      </c>
      <c r="AM51" s="27" t="s">
        <v>2727</v>
      </c>
      <c r="AN51" s="27" t="s">
        <v>2728</v>
      </c>
      <c r="AO51" s="27">
        <v>63</v>
      </c>
      <c r="AP51" s="27">
        <v>153</v>
      </c>
    </row>
    <row r="52" spans="2:42" ht="13.5" thickBot="1">
      <c r="B52" s="3">
        <v>388</v>
      </c>
      <c r="C52" s="3">
        <v>37.5</v>
      </c>
      <c r="D52" s="122">
        <v>-213.3</v>
      </c>
      <c r="E52" s="4">
        <v>-9.9499999999999993</v>
      </c>
      <c r="F52" s="5">
        <v>50</v>
      </c>
      <c r="H52" s="19"/>
      <c r="J52" s="5">
        <v>151</v>
      </c>
      <c r="L52" s="27" t="s">
        <v>1805</v>
      </c>
      <c r="N52" s="3">
        <v>388</v>
      </c>
      <c r="P52" s="27">
        <v>213.3</v>
      </c>
      <c r="Q52">
        <v>-1</v>
      </c>
      <c r="S52" s="19"/>
      <c r="U52" s="37">
        <v>152</v>
      </c>
      <c r="V52" s="27" t="s">
        <v>2730</v>
      </c>
      <c r="W52" s="27"/>
      <c r="X52" s="27" t="s">
        <v>2731</v>
      </c>
      <c r="Y52" s="27"/>
      <c r="Z52" s="27" t="s">
        <v>2329</v>
      </c>
      <c r="AA52" s="27" t="s">
        <v>2732</v>
      </c>
      <c r="AB52" s="27" t="s">
        <v>2733</v>
      </c>
      <c r="AC52" s="27" t="s">
        <v>2734</v>
      </c>
      <c r="AD52" s="27"/>
      <c r="AE52" s="27" t="s">
        <v>2735</v>
      </c>
      <c r="AF52" s="27" t="s">
        <v>2736</v>
      </c>
      <c r="AG52" s="27" t="s">
        <v>2737</v>
      </c>
      <c r="AH52" s="27" t="s">
        <v>2738</v>
      </c>
      <c r="AI52" s="27"/>
      <c r="AJ52" s="27" t="s">
        <v>2739</v>
      </c>
      <c r="AK52" s="27" t="s">
        <v>2740</v>
      </c>
      <c r="AL52" s="27" t="s">
        <v>2741</v>
      </c>
      <c r="AM52" s="27" t="s">
        <v>2742</v>
      </c>
      <c r="AN52" s="27" t="s">
        <v>2743</v>
      </c>
      <c r="AO52" s="27"/>
      <c r="AP52" s="27">
        <v>152</v>
      </c>
    </row>
    <row r="53" spans="2:42" ht="13.5" thickBot="1">
      <c r="B53" s="3">
        <v>391</v>
      </c>
      <c r="C53" s="3">
        <v>38</v>
      </c>
      <c r="D53" s="122">
        <v>-212.75</v>
      </c>
      <c r="E53" s="4">
        <v>-9.91</v>
      </c>
      <c r="F53" s="5">
        <v>51</v>
      </c>
      <c r="H53" s="19">
        <v>62.5</v>
      </c>
      <c r="I53">
        <v>155</v>
      </c>
      <c r="J53" s="5">
        <v>150</v>
      </c>
      <c r="L53" s="27" t="s">
        <v>1806</v>
      </c>
      <c r="N53" s="3">
        <v>391</v>
      </c>
      <c r="P53" s="27">
        <v>212.75</v>
      </c>
      <c r="Q53">
        <v>-1</v>
      </c>
      <c r="S53" s="19" t="s">
        <v>1807</v>
      </c>
      <c r="U53" s="37">
        <v>151</v>
      </c>
      <c r="V53" s="27" t="s">
        <v>2744</v>
      </c>
      <c r="W53" s="27"/>
      <c r="X53" s="27" t="s">
        <v>2263</v>
      </c>
      <c r="Y53" s="27" t="s">
        <v>2745</v>
      </c>
      <c r="Z53" s="27" t="s">
        <v>2746</v>
      </c>
      <c r="AA53" s="27" t="s">
        <v>2747</v>
      </c>
      <c r="AB53" s="27" t="s">
        <v>2748</v>
      </c>
      <c r="AC53" s="27" t="s">
        <v>2749</v>
      </c>
      <c r="AD53" s="27" t="s">
        <v>2707</v>
      </c>
      <c r="AE53" s="27" t="s">
        <v>2750</v>
      </c>
      <c r="AF53" s="27"/>
      <c r="AG53" s="27" t="s">
        <v>2751</v>
      </c>
      <c r="AH53" s="27" t="s">
        <v>2752</v>
      </c>
      <c r="AI53" s="27"/>
      <c r="AJ53" s="27" t="s">
        <v>2753</v>
      </c>
      <c r="AK53" s="27" t="s">
        <v>2754</v>
      </c>
      <c r="AL53" s="27" t="s">
        <v>2755</v>
      </c>
      <c r="AM53" s="27" t="s">
        <v>2756</v>
      </c>
      <c r="AN53" s="27" t="s">
        <v>2757</v>
      </c>
      <c r="AO53" s="27"/>
      <c r="AP53" s="27">
        <v>152</v>
      </c>
    </row>
    <row r="54" spans="2:42" ht="13.5" thickBot="1">
      <c r="B54" s="3">
        <v>394</v>
      </c>
      <c r="C54" s="3">
        <v>38.5</v>
      </c>
      <c r="D54" s="122">
        <v>-212.2</v>
      </c>
      <c r="E54" s="4">
        <v>-9.8699999999999992</v>
      </c>
      <c r="F54" s="5">
        <v>52</v>
      </c>
      <c r="H54" s="19"/>
      <c r="J54" s="5">
        <v>149</v>
      </c>
      <c r="L54" s="27" t="s">
        <v>1808</v>
      </c>
      <c r="N54" s="3">
        <v>394</v>
      </c>
      <c r="P54" s="27">
        <v>212.2</v>
      </c>
      <c r="Q54">
        <v>-1</v>
      </c>
      <c r="S54" s="19"/>
      <c r="U54" s="37">
        <v>150</v>
      </c>
      <c r="V54" s="27" t="s">
        <v>2758</v>
      </c>
      <c r="W54" s="27"/>
      <c r="X54" s="27" t="s">
        <v>2759</v>
      </c>
      <c r="Y54" s="27"/>
      <c r="Z54" s="27" t="s">
        <v>2760</v>
      </c>
      <c r="AA54" s="27" t="s">
        <v>2761</v>
      </c>
      <c r="AB54" s="27" t="s">
        <v>2762</v>
      </c>
      <c r="AC54" s="27" t="s">
        <v>2763</v>
      </c>
      <c r="AD54" s="27"/>
      <c r="AE54" s="27" t="s">
        <v>2764</v>
      </c>
      <c r="AF54" s="27"/>
      <c r="AG54" s="27" t="s">
        <v>2765</v>
      </c>
      <c r="AH54" s="27"/>
      <c r="AI54" s="27" t="s">
        <v>2766</v>
      </c>
      <c r="AJ54" s="27" t="s">
        <v>2767</v>
      </c>
      <c r="AK54" s="27" t="s">
        <v>2768</v>
      </c>
      <c r="AL54" s="27" t="s">
        <v>2769</v>
      </c>
      <c r="AM54" s="27" t="s">
        <v>2770</v>
      </c>
      <c r="AN54" s="27" t="s">
        <v>2771</v>
      </c>
      <c r="AO54" s="27">
        <v>62.5</v>
      </c>
      <c r="AP54" s="27">
        <v>150</v>
      </c>
    </row>
    <row r="55" spans="2:42" ht="13.5" thickBot="1">
      <c r="B55" s="3">
        <v>397</v>
      </c>
      <c r="C55" s="3">
        <v>39</v>
      </c>
      <c r="D55" s="122">
        <v>-211.65</v>
      </c>
      <c r="E55" s="4">
        <v>-9.83</v>
      </c>
      <c r="F55" s="5">
        <v>53</v>
      </c>
      <c r="H55" s="19"/>
      <c r="I55">
        <v>154</v>
      </c>
      <c r="J55" s="5">
        <v>148</v>
      </c>
      <c r="L55" s="27" t="s">
        <v>1809</v>
      </c>
      <c r="N55" s="3">
        <v>397</v>
      </c>
      <c r="P55" s="27">
        <v>211.65</v>
      </c>
      <c r="Q55">
        <v>-1</v>
      </c>
      <c r="S55" s="19"/>
      <c r="U55" s="37">
        <v>149</v>
      </c>
      <c r="V55" s="27" t="s">
        <v>2773</v>
      </c>
      <c r="W55" s="27"/>
      <c r="X55" s="27" t="s">
        <v>2774</v>
      </c>
      <c r="Y55" s="27"/>
      <c r="Z55" s="27" t="s">
        <v>2775</v>
      </c>
      <c r="AA55" s="27" t="s">
        <v>2776</v>
      </c>
      <c r="AB55" s="27" t="s">
        <v>2777</v>
      </c>
      <c r="AC55" s="27" t="s">
        <v>2778</v>
      </c>
      <c r="AD55" s="27"/>
      <c r="AE55" s="27" t="s">
        <v>2779</v>
      </c>
      <c r="AF55" s="27" t="s">
        <v>2780</v>
      </c>
      <c r="AG55" s="27" t="s">
        <v>2781</v>
      </c>
      <c r="AH55" s="27" t="s">
        <v>2782</v>
      </c>
      <c r="AI55" s="27"/>
      <c r="AJ55" s="27" t="s">
        <v>2783</v>
      </c>
      <c r="AK55" s="27" t="s">
        <v>2784</v>
      </c>
      <c r="AL55" s="27" t="s">
        <v>2785</v>
      </c>
      <c r="AM55" s="27" t="s">
        <v>2786</v>
      </c>
      <c r="AN55" s="27" t="s">
        <v>2787</v>
      </c>
      <c r="AO55" s="27"/>
      <c r="AP55" s="27">
        <v>149</v>
      </c>
    </row>
    <row r="56" spans="2:42" ht="13.5" thickBot="1">
      <c r="B56" s="3">
        <v>399</v>
      </c>
      <c r="C56" s="3">
        <v>39.5</v>
      </c>
      <c r="D56" s="122">
        <v>-211.1</v>
      </c>
      <c r="E56" s="4">
        <v>-9.7899999999999991</v>
      </c>
      <c r="F56" s="5">
        <v>54</v>
      </c>
      <c r="G56">
        <v>-7.9</v>
      </c>
      <c r="H56" s="19">
        <v>62</v>
      </c>
      <c r="J56" s="5">
        <v>147</v>
      </c>
      <c r="L56" s="27" t="s">
        <v>1810</v>
      </c>
      <c r="N56" s="3">
        <v>399</v>
      </c>
      <c r="P56" s="27">
        <v>211.1</v>
      </c>
      <c r="Q56">
        <v>-1</v>
      </c>
      <c r="S56" s="19" t="s">
        <v>1811</v>
      </c>
      <c r="U56" s="37">
        <v>148</v>
      </c>
      <c r="V56" s="27" t="s">
        <v>2788</v>
      </c>
      <c r="W56" s="27"/>
      <c r="X56" s="27" t="s">
        <v>2789</v>
      </c>
      <c r="Y56" s="27"/>
      <c r="Z56" s="27" t="s">
        <v>2790</v>
      </c>
      <c r="AA56" s="27"/>
      <c r="AB56" s="27" t="s">
        <v>2791</v>
      </c>
      <c r="AC56" s="27" t="s">
        <v>2792</v>
      </c>
      <c r="AD56" s="27"/>
      <c r="AE56" s="27" t="s">
        <v>2793</v>
      </c>
      <c r="AF56" s="27"/>
      <c r="AG56" s="27" t="s">
        <v>2794</v>
      </c>
      <c r="AH56" s="27"/>
      <c r="AI56" s="27"/>
      <c r="AJ56" s="27" t="s">
        <v>2795</v>
      </c>
      <c r="AK56" s="27" t="s">
        <v>2796</v>
      </c>
      <c r="AL56" s="27" t="s">
        <v>2711</v>
      </c>
      <c r="AM56" s="27" t="s">
        <v>2797</v>
      </c>
      <c r="AN56" s="27" t="s">
        <v>2798</v>
      </c>
      <c r="AO56" s="27"/>
      <c r="AP56" s="27">
        <v>148</v>
      </c>
    </row>
    <row r="57" spans="2:42" ht="13.5" thickBot="1">
      <c r="B57" s="3">
        <v>401</v>
      </c>
      <c r="C57" s="3">
        <v>40</v>
      </c>
      <c r="D57" s="122">
        <v>-210.55</v>
      </c>
      <c r="E57" s="4">
        <v>-9.75</v>
      </c>
      <c r="F57" s="5">
        <v>55</v>
      </c>
      <c r="H57" s="19"/>
      <c r="I57">
        <v>153</v>
      </c>
      <c r="J57" s="5">
        <v>146</v>
      </c>
      <c r="L57" s="27" t="s">
        <v>1812</v>
      </c>
      <c r="N57" s="3">
        <v>401</v>
      </c>
      <c r="P57" s="27">
        <v>210.55</v>
      </c>
      <c r="Q57">
        <v>-1</v>
      </c>
      <c r="S57" s="19"/>
      <c r="U57" s="37">
        <v>147</v>
      </c>
      <c r="V57" s="27" t="s">
        <v>2799</v>
      </c>
      <c r="W57" s="27" t="s">
        <v>2800</v>
      </c>
      <c r="X57" s="27" t="s">
        <v>2801</v>
      </c>
      <c r="Y57" s="27"/>
      <c r="Z57" s="27" t="s">
        <v>2802</v>
      </c>
      <c r="AA57" s="27" t="s">
        <v>2803</v>
      </c>
      <c r="AB57" s="27" t="s">
        <v>2804</v>
      </c>
      <c r="AC57" s="27" t="s">
        <v>2805</v>
      </c>
      <c r="AD57" s="27" t="s">
        <v>2736</v>
      </c>
      <c r="AE57" s="27" t="s">
        <v>2806</v>
      </c>
      <c r="AF57" s="27"/>
      <c r="AG57" s="27" t="s">
        <v>2807</v>
      </c>
      <c r="AH57" s="27" t="s">
        <v>2808</v>
      </c>
      <c r="AI57" s="27" t="s">
        <v>2809</v>
      </c>
      <c r="AJ57" s="27" t="s">
        <v>2810</v>
      </c>
      <c r="AK57" s="27" t="s">
        <v>2811</v>
      </c>
      <c r="AL57" s="27" t="s">
        <v>2812</v>
      </c>
      <c r="AM57" s="27" t="s">
        <v>2813</v>
      </c>
      <c r="AN57" s="27" t="s">
        <v>2814</v>
      </c>
      <c r="AO57" s="27">
        <v>62</v>
      </c>
      <c r="AP57" s="27">
        <v>147</v>
      </c>
    </row>
    <row r="58" spans="2:42" ht="13.5" thickBot="1">
      <c r="B58" s="3">
        <v>403</v>
      </c>
      <c r="C58" s="3">
        <v>40.5</v>
      </c>
      <c r="D58" s="122">
        <v>-210</v>
      </c>
      <c r="E58" s="4">
        <v>-9.7100000000000009</v>
      </c>
      <c r="F58" s="5">
        <v>56</v>
      </c>
      <c r="H58" s="19"/>
      <c r="J58" s="5">
        <v>145</v>
      </c>
      <c r="L58" s="27" t="s">
        <v>1813</v>
      </c>
      <c r="N58" s="3">
        <v>403</v>
      </c>
      <c r="P58" s="27">
        <v>210</v>
      </c>
      <c r="Q58">
        <v>-1</v>
      </c>
      <c r="S58" s="19"/>
      <c r="U58" s="37">
        <v>146</v>
      </c>
      <c r="V58" s="27" t="s">
        <v>2816</v>
      </c>
      <c r="W58" s="27"/>
      <c r="X58" s="27" t="s">
        <v>2817</v>
      </c>
      <c r="Y58" s="27" t="s">
        <v>2818</v>
      </c>
      <c r="Z58" s="27" t="s">
        <v>2819</v>
      </c>
      <c r="AA58" s="27"/>
      <c r="AB58" s="27" t="s">
        <v>2820</v>
      </c>
      <c r="AC58" s="27" t="s">
        <v>2821</v>
      </c>
      <c r="AD58" s="27"/>
      <c r="AE58" s="27" t="s">
        <v>2822</v>
      </c>
      <c r="AF58" s="27" t="s">
        <v>2823</v>
      </c>
      <c r="AG58" s="27" t="s">
        <v>2824</v>
      </c>
      <c r="AH58" s="27" t="s">
        <v>2825</v>
      </c>
      <c r="AI58" s="27"/>
      <c r="AJ58" s="27" t="s">
        <v>2826</v>
      </c>
      <c r="AK58" s="27" t="s">
        <v>2827</v>
      </c>
      <c r="AL58" s="27" t="s">
        <v>2725</v>
      </c>
      <c r="AM58" s="27" t="s">
        <v>2828</v>
      </c>
      <c r="AN58" s="27" t="s">
        <v>2829</v>
      </c>
      <c r="AO58" s="27"/>
      <c r="AP58" s="27">
        <v>146</v>
      </c>
    </row>
    <row r="59" spans="2:42" ht="13.5" thickBot="1">
      <c r="B59" s="3">
        <v>405</v>
      </c>
      <c r="C59" s="3">
        <v>41</v>
      </c>
      <c r="D59" s="122">
        <v>-209.45</v>
      </c>
      <c r="E59" s="4">
        <v>-9.67</v>
      </c>
      <c r="F59" s="5">
        <v>57</v>
      </c>
      <c r="H59" s="19">
        <v>61.5</v>
      </c>
      <c r="I59">
        <v>152</v>
      </c>
      <c r="J59" s="5">
        <v>144</v>
      </c>
      <c r="L59" s="27" t="s">
        <v>1814</v>
      </c>
      <c r="N59" s="3">
        <v>405</v>
      </c>
      <c r="P59" s="27">
        <v>209.45</v>
      </c>
      <c r="Q59">
        <v>-1</v>
      </c>
      <c r="S59" s="19" t="s">
        <v>1815</v>
      </c>
      <c r="U59" s="37">
        <v>145</v>
      </c>
      <c r="V59" s="27" t="s">
        <v>2830</v>
      </c>
      <c r="W59" s="27"/>
      <c r="X59" s="27" t="s">
        <v>2831</v>
      </c>
      <c r="Y59" s="27"/>
      <c r="Z59" s="27" t="s">
        <v>2832</v>
      </c>
      <c r="AA59" s="27" t="s">
        <v>2833</v>
      </c>
      <c r="AB59" s="27" t="s">
        <v>2834</v>
      </c>
      <c r="AC59" s="27" t="s">
        <v>2835</v>
      </c>
      <c r="AD59" s="27"/>
      <c r="AE59" s="27" t="s">
        <v>2836</v>
      </c>
      <c r="AF59" s="27"/>
      <c r="AG59" s="27" t="s">
        <v>2837</v>
      </c>
      <c r="AH59" s="27"/>
      <c r="AI59" s="27"/>
      <c r="AJ59" s="27" t="s">
        <v>2838</v>
      </c>
      <c r="AK59" s="27" t="s">
        <v>2839</v>
      </c>
      <c r="AL59" s="27" t="s">
        <v>2840</v>
      </c>
      <c r="AM59" s="27" t="s">
        <v>2841</v>
      </c>
      <c r="AN59" s="27" t="s">
        <v>2842</v>
      </c>
      <c r="AO59" s="27"/>
      <c r="AP59" s="27">
        <v>145</v>
      </c>
    </row>
    <row r="60" spans="2:42" ht="13.5" thickBot="1">
      <c r="B60" s="3">
        <v>407</v>
      </c>
      <c r="C60" s="3">
        <v>41.5</v>
      </c>
      <c r="D60" s="122">
        <v>-208.9</v>
      </c>
      <c r="E60" s="4">
        <v>-9.6300000000000008</v>
      </c>
      <c r="F60" s="5">
        <v>58</v>
      </c>
      <c r="H60" s="19"/>
      <c r="J60" s="5">
        <v>143</v>
      </c>
      <c r="L60" s="27" t="s">
        <v>1816</v>
      </c>
      <c r="N60" s="3">
        <v>407</v>
      </c>
      <c r="P60" s="27">
        <v>208.9</v>
      </c>
      <c r="Q60">
        <v>-1</v>
      </c>
      <c r="S60" s="19"/>
      <c r="U60" s="37">
        <v>144</v>
      </c>
      <c r="V60" s="27" t="s">
        <v>2843</v>
      </c>
      <c r="W60" s="27"/>
      <c r="X60" s="27" t="s">
        <v>2237</v>
      </c>
      <c r="Y60" s="27"/>
      <c r="Z60" s="27" t="s">
        <v>2844</v>
      </c>
      <c r="AA60" s="27"/>
      <c r="AB60" s="27" t="s">
        <v>2845</v>
      </c>
      <c r="AC60" s="27" t="s">
        <v>2764</v>
      </c>
      <c r="AD60" s="27"/>
      <c r="AE60" s="27" t="s">
        <v>2846</v>
      </c>
      <c r="AF60" s="27"/>
      <c r="AG60" s="27" t="s">
        <v>2847</v>
      </c>
      <c r="AH60" s="27" t="s">
        <v>2848</v>
      </c>
      <c r="AI60" s="27" t="s">
        <v>2849</v>
      </c>
      <c r="AJ60" s="27"/>
      <c r="AK60" s="27" t="s">
        <v>2850</v>
      </c>
      <c r="AL60" s="27" t="s">
        <v>2851</v>
      </c>
      <c r="AM60" s="27" t="s">
        <v>2852</v>
      </c>
      <c r="AN60" s="27" t="s">
        <v>2853</v>
      </c>
      <c r="AO60" s="27">
        <v>61.5</v>
      </c>
      <c r="AP60" s="27">
        <v>144</v>
      </c>
    </row>
    <row r="61" spans="2:42" ht="13.5" thickBot="1">
      <c r="B61" s="3">
        <v>409</v>
      </c>
      <c r="C61" s="3">
        <v>42</v>
      </c>
      <c r="D61" s="122">
        <v>-208.35</v>
      </c>
      <c r="E61" s="4">
        <v>-9.59</v>
      </c>
      <c r="F61" s="5">
        <v>59</v>
      </c>
      <c r="H61" s="19"/>
      <c r="J61" s="5">
        <v>142</v>
      </c>
      <c r="L61" s="27" t="s">
        <v>1817</v>
      </c>
      <c r="N61" s="3">
        <v>409</v>
      </c>
      <c r="P61" s="27">
        <v>208.35</v>
      </c>
      <c r="Q61">
        <v>-1</v>
      </c>
      <c r="S61" s="19"/>
      <c r="U61" s="37">
        <v>143</v>
      </c>
      <c r="V61" s="27" t="s">
        <v>2854</v>
      </c>
      <c r="W61" s="27"/>
      <c r="X61" s="27" t="s">
        <v>2855</v>
      </c>
      <c r="Y61" s="27"/>
      <c r="Z61" s="27" t="s">
        <v>2856</v>
      </c>
      <c r="AA61" s="27" t="s">
        <v>2857</v>
      </c>
      <c r="AB61" s="27" t="s">
        <v>2858</v>
      </c>
      <c r="AC61" s="27" t="s">
        <v>2859</v>
      </c>
      <c r="AD61" s="27"/>
      <c r="AE61" s="27" t="s">
        <v>2860</v>
      </c>
      <c r="AF61" s="27"/>
      <c r="AG61" s="27" t="s">
        <v>2861</v>
      </c>
      <c r="AH61" s="27"/>
      <c r="AI61" s="27"/>
      <c r="AJ61" s="27" t="s">
        <v>2862</v>
      </c>
      <c r="AK61" s="27" t="s">
        <v>2863</v>
      </c>
      <c r="AL61" s="27" t="s">
        <v>2864</v>
      </c>
      <c r="AM61" s="27" t="s">
        <v>2865</v>
      </c>
      <c r="AN61" s="27" t="s">
        <v>2866</v>
      </c>
      <c r="AO61" s="27"/>
      <c r="AP61" s="27">
        <v>143</v>
      </c>
    </row>
    <row r="62" spans="2:42" ht="13.5" thickBot="1">
      <c r="B62" s="3">
        <v>411.00000000000006</v>
      </c>
      <c r="C62" s="3">
        <v>42.5</v>
      </c>
      <c r="D62" s="122">
        <v>-207.8</v>
      </c>
      <c r="E62" s="4">
        <v>-9.5500000000000007</v>
      </c>
      <c r="F62" s="5">
        <v>60</v>
      </c>
      <c r="H62" s="19">
        <v>61</v>
      </c>
      <c r="I62">
        <v>151</v>
      </c>
      <c r="J62" s="5">
        <v>141</v>
      </c>
      <c r="L62" s="27" t="s">
        <v>1818</v>
      </c>
      <c r="N62" s="3">
        <v>411</v>
      </c>
      <c r="P62" s="27">
        <v>207.8</v>
      </c>
      <c r="Q62">
        <v>-1</v>
      </c>
      <c r="S62" s="19" t="s">
        <v>1819</v>
      </c>
      <c r="U62" s="37">
        <v>142</v>
      </c>
      <c r="V62" s="27" t="s">
        <v>2867</v>
      </c>
      <c r="W62" s="27"/>
      <c r="X62" s="27" t="s">
        <v>0</v>
      </c>
      <c r="Y62" s="27"/>
      <c r="Z62" s="27" t="s">
        <v>1</v>
      </c>
      <c r="AA62" s="27"/>
      <c r="AB62" s="27" t="s">
        <v>2</v>
      </c>
      <c r="AC62" s="27" t="s">
        <v>2779</v>
      </c>
      <c r="AD62" s="27" t="s">
        <v>2780</v>
      </c>
      <c r="AE62" s="27" t="s">
        <v>3</v>
      </c>
      <c r="AF62" s="27" t="s">
        <v>4</v>
      </c>
      <c r="AG62" s="27" t="s">
        <v>5</v>
      </c>
      <c r="AH62" s="27" t="s">
        <v>6</v>
      </c>
      <c r="AI62" s="27"/>
      <c r="AJ62" s="27" t="s">
        <v>7</v>
      </c>
      <c r="AK62" s="27" t="s">
        <v>8</v>
      </c>
      <c r="AL62" s="27" t="s">
        <v>9</v>
      </c>
      <c r="AM62" s="27" t="s">
        <v>10</v>
      </c>
      <c r="AN62" s="27" t="s">
        <v>11</v>
      </c>
      <c r="AO62" s="27"/>
      <c r="AP62" s="27">
        <v>142</v>
      </c>
    </row>
    <row r="63" spans="2:42" ht="13.5" thickBot="1">
      <c r="B63" s="3">
        <v>413</v>
      </c>
      <c r="C63" s="3">
        <v>43</v>
      </c>
      <c r="D63" s="122">
        <v>-207.25</v>
      </c>
      <c r="E63" s="4">
        <v>-9.51</v>
      </c>
      <c r="F63" s="5">
        <v>61</v>
      </c>
      <c r="H63" s="19"/>
      <c r="J63" s="5">
        <v>140</v>
      </c>
      <c r="L63" s="27" t="s">
        <v>1820</v>
      </c>
      <c r="N63" s="3">
        <v>413</v>
      </c>
      <c r="P63" s="27">
        <v>207.25</v>
      </c>
      <c r="Q63">
        <v>-1</v>
      </c>
      <c r="S63" s="19"/>
      <c r="U63" s="37">
        <v>141</v>
      </c>
      <c r="V63" s="27" t="s">
        <v>12</v>
      </c>
      <c r="W63" s="27"/>
      <c r="X63" s="27" t="s">
        <v>13</v>
      </c>
      <c r="Y63" s="27" t="s">
        <v>14</v>
      </c>
      <c r="Z63" s="27" t="s">
        <v>15</v>
      </c>
      <c r="AA63" s="27" t="s">
        <v>16</v>
      </c>
      <c r="AB63" s="27" t="s">
        <v>17</v>
      </c>
      <c r="AC63" s="27" t="s">
        <v>18</v>
      </c>
      <c r="AD63" s="27"/>
      <c r="AE63" s="27" t="s">
        <v>19</v>
      </c>
      <c r="AF63" s="27"/>
      <c r="AG63" s="27" t="s">
        <v>20</v>
      </c>
      <c r="AH63" s="27"/>
      <c r="AI63" s="27" t="s">
        <v>21</v>
      </c>
      <c r="AJ63" s="27" t="s">
        <v>22</v>
      </c>
      <c r="AK63" s="27" t="s">
        <v>23</v>
      </c>
      <c r="AL63" s="27" t="s">
        <v>2796</v>
      </c>
      <c r="AM63" s="27" t="s">
        <v>24</v>
      </c>
      <c r="AN63" s="27" t="s">
        <v>25</v>
      </c>
      <c r="AO63" s="27">
        <v>61</v>
      </c>
      <c r="AP63" s="27">
        <v>141</v>
      </c>
    </row>
    <row r="64" spans="2:42" ht="13.5" thickBot="1">
      <c r="B64" s="3">
        <v>415.00000000000006</v>
      </c>
      <c r="C64" s="3">
        <v>43.5</v>
      </c>
      <c r="D64" s="122">
        <v>-206.7</v>
      </c>
      <c r="E64" s="4">
        <v>-9.4700000000000006</v>
      </c>
      <c r="F64" s="5">
        <v>62</v>
      </c>
      <c r="G64">
        <v>-8</v>
      </c>
      <c r="H64" s="19">
        <v>60.5</v>
      </c>
      <c r="J64" s="5">
        <v>139</v>
      </c>
      <c r="L64" s="27" t="s">
        <v>1821</v>
      </c>
      <c r="N64" s="3">
        <v>415</v>
      </c>
      <c r="P64" s="27">
        <v>206.7</v>
      </c>
      <c r="Q64">
        <v>-1</v>
      </c>
      <c r="S64" s="19" t="s">
        <v>1822</v>
      </c>
      <c r="U64" s="37">
        <v>140</v>
      </c>
      <c r="V64" s="27" t="s">
        <v>27</v>
      </c>
      <c r="W64" s="27"/>
      <c r="X64" s="27" t="s">
        <v>28</v>
      </c>
      <c r="Y64" s="27"/>
      <c r="Z64" s="27" t="s">
        <v>29</v>
      </c>
      <c r="AA64" s="27"/>
      <c r="AB64" s="27" t="s">
        <v>30</v>
      </c>
      <c r="AC64" s="27" t="s">
        <v>31</v>
      </c>
      <c r="AD64" s="27"/>
      <c r="AE64" s="27" t="s">
        <v>32</v>
      </c>
      <c r="AF64" s="27"/>
      <c r="AG64" s="27" t="s">
        <v>33</v>
      </c>
      <c r="AH64" s="27" t="s">
        <v>34</v>
      </c>
      <c r="AI64" s="27"/>
      <c r="AJ64" s="27"/>
      <c r="AK64" s="27" t="s">
        <v>35</v>
      </c>
      <c r="AL64" s="27" t="s">
        <v>36</v>
      </c>
      <c r="AM64" s="27" t="s">
        <v>37</v>
      </c>
      <c r="AN64" s="27" t="s">
        <v>38</v>
      </c>
      <c r="AO64" s="27"/>
      <c r="AP64" s="27">
        <v>140</v>
      </c>
    </row>
    <row r="65" spans="2:42" ht="13.5" thickBot="1">
      <c r="B65" s="3">
        <v>417</v>
      </c>
      <c r="C65" s="3">
        <v>44</v>
      </c>
      <c r="D65" s="122">
        <v>-206.15</v>
      </c>
      <c r="E65" s="4">
        <v>-9.43</v>
      </c>
      <c r="F65" s="5">
        <v>63</v>
      </c>
      <c r="H65" s="19"/>
      <c r="I65">
        <v>150</v>
      </c>
      <c r="J65" s="5">
        <v>138</v>
      </c>
      <c r="L65" s="27" t="s">
        <v>1823</v>
      </c>
      <c r="N65" s="3">
        <v>417</v>
      </c>
      <c r="P65" s="27">
        <v>206.15</v>
      </c>
      <c r="Q65">
        <v>-1</v>
      </c>
      <c r="S65" s="19"/>
      <c r="U65" s="37">
        <v>139</v>
      </c>
      <c r="V65" s="27" t="s">
        <v>39</v>
      </c>
      <c r="W65" s="27" t="s">
        <v>40</v>
      </c>
      <c r="X65" s="27" t="s">
        <v>41</v>
      </c>
      <c r="Y65" s="27"/>
      <c r="Z65" s="27" t="s">
        <v>42</v>
      </c>
      <c r="AA65" s="27" t="s">
        <v>43</v>
      </c>
      <c r="AB65" s="27" t="s">
        <v>44</v>
      </c>
      <c r="AC65" s="27" t="s">
        <v>2806</v>
      </c>
      <c r="AD65" s="27"/>
      <c r="AE65" s="27" t="s">
        <v>45</v>
      </c>
      <c r="AF65" s="27"/>
      <c r="AG65" s="27" t="s">
        <v>46</v>
      </c>
      <c r="AH65" s="27"/>
      <c r="AI65" s="27"/>
      <c r="AJ65" s="27" t="s">
        <v>47</v>
      </c>
      <c r="AK65" s="27" t="s">
        <v>48</v>
      </c>
      <c r="AL65" s="27" t="s">
        <v>49</v>
      </c>
      <c r="AM65" s="27" t="s">
        <v>50</v>
      </c>
      <c r="AN65" s="27" t="s">
        <v>51</v>
      </c>
      <c r="AO65" s="27">
        <v>60.5</v>
      </c>
      <c r="AP65" s="27">
        <v>139</v>
      </c>
    </row>
    <row r="66" spans="2:42" ht="13.5" thickBot="1">
      <c r="B66" s="3">
        <v>419.00000000000006</v>
      </c>
      <c r="C66" s="3">
        <v>44.5</v>
      </c>
      <c r="D66" s="122">
        <v>-205.6</v>
      </c>
      <c r="E66" s="4">
        <v>-9.39</v>
      </c>
      <c r="F66" s="5">
        <v>64</v>
      </c>
      <c r="H66" s="19">
        <v>60</v>
      </c>
      <c r="J66" s="5">
        <v>137</v>
      </c>
      <c r="L66" s="27" t="s">
        <v>1824</v>
      </c>
      <c r="N66" s="3">
        <v>419</v>
      </c>
      <c r="P66" s="27">
        <v>205.6</v>
      </c>
      <c r="Q66">
        <v>-1</v>
      </c>
      <c r="S66" s="19" t="s">
        <v>1825</v>
      </c>
      <c r="U66" s="37">
        <v>138</v>
      </c>
      <c r="V66" s="27" t="s">
        <v>52</v>
      </c>
      <c r="W66" s="27"/>
      <c r="X66" s="27" t="s">
        <v>53</v>
      </c>
      <c r="Y66" s="27"/>
      <c r="Z66" s="27" t="s">
        <v>54</v>
      </c>
      <c r="AA66" s="27"/>
      <c r="AB66" s="27" t="s">
        <v>55</v>
      </c>
      <c r="AC66" s="27" t="s">
        <v>56</v>
      </c>
      <c r="AD66" s="27"/>
      <c r="AE66" s="27" t="s">
        <v>57</v>
      </c>
      <c r="AF66" s="27"/>
      <c r="AG66" s="27" t="s">
        <v>58</v>
      </c>
      <c r="AH66" s="27" t="s">
        <v>59</v>
      </c>
      <c r="AI66" s="27" t="s">
        <v>60</v>
      </c>
      <c r="AJ66" s="27" t="s">
        <v>61</v>
      </c>
      <c r="AK66" s="27" t="s">
        <v>62</v>
      </c>
      <c r="AL66" s="27" t="s">
        <v>63</v>
      </c>
      <c r="AM66" s="27" t="s">
        <v>64</v>
      </c>
      <c r="AN66" s="27" t="s">
        <v>65</v>
      </c>
      <c r="AO66" s="27"/>
      <c r="AP66" s="27">
        <v>138</v>
      </c>
    </row>
    <row r="67" spans="2:42" ht="13.5" thickBot="1">
      <c r="B67" s="3">
        <v>421</v>
      </c>
      <c r="C67" s="3">
        <v>45</v>
      </c>
      <c r="D67" s="122">
        <v>-205.05</v>
      </c>
      <c r="E67" s="4">
        <v>-9.35</v>
      </c>
      <c r="F67" s="5">
        <v>65</v>
      </c>
      <c r="H67" s="19"/>
      <c r="J67" s="5">
        <v>136</v>
      </c>
      <c r="L67" s="27" t="s">
        <v>1826</v>
      </c>
      <c r="N67" s="3">
        <v>421</v>
      </c>
      <c r="P67" s="27">
        <v>205.05</v>
      </c>
      <c r="Q67">
        <v>-1</v>
      </c>
      <c r="S67" s="19"/>
      <c r="U67" s="37">
        <v>137</v>
      </c>
      <c r="V67" s="27" t="s">
        <v>66</v>
      </c>
      <c r="W67" s="27"/>
      <c r="X67" s="27" t="s">
        <v>67</v>
      </c>
      <c r="Y67" s="27"/>
      <c r="Z67" s="27" t="s">
        <v>68</v>
      </c>
      <c r="AA67" s="27" t="s">
        <v>69</v>
      </c>
      <c r="AB67" s="27" t="s">
        <v>70</v>
      </c>
      <c r="AC67" s="27" t="s">
        <v>71</v>
      </c>
      <c r="AD67" s="27" t="s">
        <v>2823</v>
      </c>
      <c r="AE67" s="27" t="s">
        <v>72</v>
      </c>
      <c r="AF67" s="27" t="s">
        <v>73</v>
      </c>
      <c r="AG67" s="27" t="s">
        <v>74</v>
      </c>
      <c r="AH67" s="27"/>
      <c r="AI67" s="27"/>
      <c r="AJ67" s="27" t="s">
        <v>75</v>
      </c>
      <c r="AK67" s="27" t="s">
        <v>76</v>
      </c>
      <c r="AL67" s="27" t="s">
        <v>77</v>
      </c>
      <c r="AM67" s="27" t="s">
        <v>78</v>
      </c>
      <c r="AN67" s="27" t="s">
        <v>79</v>
      </c>
      <c r="AO67" s="27">
        <v>60</v>
      </c>
      <c r="AP67" s="27">
        <v>137</v>
      </c>
    </row>
    <row r="68" spans="2:42" ht="13.5" thickBot="1">
      <c r="B68" s="3">
        <v>423.00000000000006</v>
      </c>
      <c r="C68" s="3">
        <v>45.5</v>
      </c>
      <c r="D68" s="122">
        <v>-204.5</v>
      </c>
      <c r="E68" s="4">
        <v>-9.32</v>
      </c>
      <c r="F68" s="5">
        <v>66</v>
      </c>
      <c r="H68" s="19">
        <v>59.5</v>
      </c>
      <c r="I68">
        <v>149</v>
      </c>
      <c r="J68" s="5">
        <v>135</v>
      </c>
      <c r="L68" s="27" t="s">
        <v>1827</v>
      </c>
      <c r="N68" s="3">
        <v>423</v>
      </c>
      <c r="P68" s="27">
        <v>204.5</v>
      </c>
      <c r="Q68">
        <v>-1</v>
      </c>
      <c r="S68" s="19" t="s">
        <v>1828</v>
      </c>
      <c r="U68" s="37">
        <v>136</v>
      </c>
      <c r="V68" s="27" t="s">
        <v>81</v>
      </c>
      <c r="W68" s="27"/>
      <c r="X68" s="27" t="s">
        <v>82</v>
      </c>
      <c r="Y68" s="27" t="s">
        <v>83</v>
      </c>
      <c r="Z68" s="27" t="s">
        <v>84</v>
      </c>
      <c r="AA68" s="27"/>
      <c r="AB68" s="27" t="s">
        <v>85</v>
      </c>
      <c r="AC68" s="27" t="s">
        <v>2836</v>
      </c>
      <c r="AD68" s="27"/>
      <c r="AE68" s="27" t="s">
        <v>86</v>
      </c>
      <c r="AF68" s="27"/>
      <c r="AG68" s="27" t="s">
        <v>87</v>
      </c>
      <c r="AH68" s="27" t="s">
        <v>88</v>
      </c>
      <c r="AI68" s="27"/>
      <c r="AJ68" s="27"/>
      <c r="AK68" s="27" t="s">
        <v>89</v>
      </c>
      <c r="AL68" s="27" t="s">
        <v>2850</v>
      </c>
      <c r="AM68" s="27" t="s">
        <v>90</v>
      </c>
      <c r="AN68" s="27" t="s">
        <v>91</v>
      </c>
      <c r="AO68" s="27"/>
      <c r="AP68" s="27">
        <v>136</v>
      </c>
    </row>
    <row r="69" spans="2:42" ht="13.5" thickBot="1">
      <c r="B69" s="3">
        <v>425</v>
      </c>
      <c r="C69" s="3">
        <v>46</v>
      </c>
      <c r="D69" s="122">
        <v>-203.95</v>
      </c>
      <c r="E69" s="4">
        <v>-9.3000000000000007</v>
      </c>
      <c r="F69" s="5">
        <v>67</v>
      </c>
      <c r="H69" s="19"/>
      <c r="J69" s="5">
        <v>134</v>
      </c>
      <c r="L69" s="27" t="s">
        <v>1829</v>
      </c>
      <c r="N69" s="3">
        <v>425</v>
      </c>
      <c r="P69" s="27">
        <v>203.95</v>
      </c>
      <c r="Q69">
        <v>-1</v>
      </c>
      <c r="S69" s="19"/>
      <c r="U69" s="37">
        <v>135</v>
      </c>
      <c r="V69" s="27" t="s">
        <v>92</v>
      </c>
      <c r="W69" s="27"/>
      <c r="X69" s="27" t="s">
        <v>93</v>
      </c>
      <c r="Y69" s="27"/>
      <c r="Z69" s="27" t="s">
        <v>94</v>
      </c>
      <c r="AA69" s="27" t="s">
        <v>95</v>
      </c>
      <c r="AB69" s="27" t="s">
        <v>96</v>
      </c>
      <c r="AC69" s="27" t="s">
        <v>97</v>
      </c>
      <c r="AD69" s="27"/>
      <c r="AE69" s="27" t="s">
        <v>98</v>
      </c>
      <c r="AF69" s="27"/>
      <c r="AG69" s="27" t="s">
        <v>99</v>
      </c>
      <c r="AH69" s="27"/>
      <c r="AI69" s="27" t="s">
        <v>100</v>
      </c>
      <c r="AJ69" s="27" t="s">
        <v>101</v>
      </c>
      <c r="AK69" s="27" t="s">
        <v>102</v>
      </c>
      <c r="AL69" s="27" t="s">
        <v>103</v>
      </c>
      <c r="AM69" s="27" t="s">
        <v>104</v>
      </c>
      <c r="AN69" s="27" t="s">
        <v>105</v>
      </c>
      <c r="AO69" s="27">
        <v>59.5</v>
      </c>
      <c r="AP69" s="27">
        <v>135</v>
      </c>
    </row>
    <row r="70" spans="2:42" ht="13.5" thickBot="1">
      <c r="B70" s="3">
        <v>426.99999999999994</v>
      </c>
      <c r="C70" s="3">
        <v>46.5</v>
      </c>
      <c r="D70" s="122">
        <v>-203.4</v>
      </c>
      <c r="E70" s="4">
        <v>-9.2799999999999994</v>
      </c>
      <c r="F70" s="5">
        <v>68</v>
      </c>
      <c r="H70" s="19">
        <v>59</v>
      </c>
      <c r="J70" s="5">
        <v>133</v>
      </c>
      <c r="L70" s="27" t="s">
        <v>1830</v>
      </c>
      <c r="N70" s="3">
        <v>427</v>
      </c>
      <c r="P70" s="27">
        <v>203.4</v>
      </c>
      <c r="Q70">
        <v>-1</v>
      </c>
      <c r="S70" s="19" t="s">
        <v>1831</v>
      </c>
      <c r="U70" s="37">
        <v>134</v>
      </c>
      <c r="V70" s="27" t="s">
        <v>106</v>
      </c>
      <c r="W70" s="27"/>
      <c r="X70" s="27" t="s">
        <v>2200</v>
      </c>
      <c r="Y70" s="27"/>
      <c r="Z70" s="27" t="s">
        <v>107</v>
      </c>
      <c r="AA70" s="27"/>
      <c r="AB70" s="27" t="s">
        <v>108</v>
      </c>
      <c r="AC70" s="27" t="s">
        <v>109</v>
      </c>
      <c r="AD70" s="27"/>
      <c r="AE70" s="27" t="s">
        <v>110</v>
      </c>
      <c r="AF70" s="27"/>
      <c r="AG70" s="27" t="s">
        <v>111</v>
      </c>
      <c r="AH70" s="27" t="s">
        <v>112</v>
      </c>
      <c r="AI70" s="27"/>
      <c r="AJ70" s="27" t="s">
        <v>113</v>
      </c>
      <c r="AK70" s="27" t="s">
        <v>114</v>
      </c>
      <c r="AL70" s="27" t="s">
        <v>115</v>
      </c>
      <c r="AM70" s="27" t="s">
        <v>116</v>
      </c>
      <c r="AN70" s="27" t="s">
        <v>117</v>
      </c>
      <c r="AO70" s="27"/>
      <c r="AP70" s="27">
        <v>134</v>
      </c>
    </row>
    <row r="71" spans="2:42" ht="13.5" thickBot="1">
      <c r="B71" s="3">
        <v>429</v>
      </c>
      <c r="C71" s="3">
        <v>47</v>
      </c>
      <c r="D71" s="122">
        <v>-202.85</v>
      </c>
      <c r="E71" s="4">
        <v>-9.26</v>
      </c>
      <c r="F71" s="5">
        <v>69</v>
      </c>
      <c r="H71" s="19"/>
      <c r="I71">
        <v>148</v>
      </c>
      <c r="J71" s="5">
        <v>132</v>
      </c>
      <c r="L71" s="27" t="s">
        <v>1832</v>
      </c>
      <c r="N71" s="3">
        <v>729</v>
      </c>
      <c r="P71" s="27">
        <v>202.85</v>
      </c>
      <c r="Q71">
        <v>-1</v>
      </c>
      <c r="S71" s="19"/>
      <c r="U71" s="37">
        <v>133</v>
      </c>
      <c r="V71" s="27" t="s">
        <v>118</v>
      </c>
      <c r="W71" s="27"/>
      <c r="X71" s="27" t="s">
        <v>119</v>
      </c>
      <c r="Y71" s="27"/>
      <c r="Z71" s="27" t="s">
        <v>120</v>
      </c>
      <c r="AA71" s="27" t="s">
        <v>121</v>
      </c>
      <c r="AB71" s="27" t="s">
        <v>122</v>
      </c>
      <c r="AC71" s="27" t="s">
        <v>123</v>
      </c>
      <c r="AD71" s="27"/>
      <c r="AE71" s="27" t="s">
        <v>124</v>
      </c>
      <c r="AF71" s="27"/>
      <c r="AG71" s="27" t="s">
        <v>125</v>
      </c>
      <c r="AH71" s="27"/>
      <c r="AI71" s="27"/>
      <c r="AJ71" s="27" t="s">
        <v>126</v>
      </c>
      <c r="AK71" s="27" t="s">
        <v>127</v>
      </c>
      <c r="AL71" s="27" t="s">
        <v>128</v>
      </c>
      <c r="AM71" s="27" t="s">
        <v>129</v>
      </c>
      <c r="AN71" s="27" t="s">
        <v>130</v>
      </c>
      <c r="AO71" s="27">
        <v>59</v>
      </c>
      <c r="AP71" s="27">
        <v>133</v>
      </c>
    </row>
    <row r="72" spans="2:42" ht="13.5" thickBot="1">
      <c r="B72" s="3">
        <v>430.99999999999994</v>
      </c>
      <c r="C72" s="3">
        <v>47.5</v>
      </c>
      <c r="D72" s="122">
        <v>-202.35</v>
      </c>
      <c r="E72" s="4">
        <v>-9.23</v>
      </c>
      <c r="F72" s="5">
        <v>70</v>
      </c>
      <c r="G72">
        <v>-8.1</v>
      </c>
      <c r="H72" s="19">
        <v>58.5</v>
      </c>
      <c r="J72" s="5">
        <v>131</v>
      </c>
      <c r="L72" s="27" t="s">
        <v>1833</v>
      </c>
      <c r="N72" s="3">
        <v>431</v>
      </c>
      <c r="P72" s="27">
        <v>202.35</v>
      </c>
      <c r="Q72">
        <v>-1</v>
      </c>
      <c r="S72" s="19" t="s">
        <v>1834</v>
      </c>
      <c r="U72" s="37">
        <v>132</v>
      </c>
      <c r="V72" s="27" t="s">
        <v>131</v>
      </c>
      <c r="W72" s="27"/>
      <c r="X72" s="27" t="s">
        <v>132</v>
      </c>
      <c r="Y72" s="27"/>
      <c r="Z72" s="27" t="s">
        <v>133</v>
      </c>
      <c r="AA72" s="27"/>
      <c r="AB72" s="27" t="s">
        <v>134</v>
      </c>
      <c r="AC72" s="27" t="s">
        <v>135</v>
      </c>
      <c r="AD72" s="27" t="s">
        <v>4</v>
      </c>
      <c r="AE72" s="27" t="s">
        <v>136</v>
      </c>
      <c r="AF72" s="27" t="s">
        <v>137</v>
      </c>
      <c r="AG72" s="27" t="s">
        <v>138</v>
      </c>
      <c r="AH72" s="27" t="s">
        <v>139</v>
      </c>
      <c r="AI72" s="27"/>
      <c r="AJ72" s="27"/>
      <c r="AK72" s="27" t="s">
        <v>140</v>
      </c>
      <c r="AL72" s="27" t="s">
        <v>141</v>
      </c>
      <c r="AM72" s="27" t="s">
        <v>142</v>
      </c>
      <c r="AN72" s="27" t="s">
        <v>143</v>
      </c>
      <c r="AO72" s="27"/>
      <c r="AP72" s="27">
        <v>132</v>
      </c>
    </row>
    <row r="73" spans="2:42" ht="13.5" thickBot="1">
      <c r="B73" s="3">
        <v>433</v>
      </c>
      <c r="C73" s="3">
        <v>48</v>
      </c>
      <c r="D73" s="122">
        <v>-201.85</v>
      </c>
      <c r="E73" s="4">
        <v>-9.1999999999999993</v>
      </c>
      <c r="F73" s="5">
        <v>71</v>
      </c>
      <c r="H73" s="19"/>
      <c r="J73" s="5">
        <v>130</v>
      </c>
      <c r="L73" s="27" t="s">
        <v>1835</v>
      </c>
      <c r="N73" s="3">
        <v>433</v>
      </c>
      <c r="P73" s="27">
        <v>201.85</v>
      </c>
      <c r="Q73">
        <v>-1</v>
      </c>
      <c r="S73" s="19"/>
      <c r="U73" s="37">
        <v>131</v>
      </c>
      <c r="V73" s="27" t="s">
        <v>144</v>
      </c>
      <c r="W73" s="27" t="s">
        <v>145</v>
      </c>
      <c r="X73" s="27" t="s">
        <v>2186</v>
      </c>
      <c r="Y73" s="27" t="s">
        <v>146</v>
      </c>
      <c r="Z73" s="27" t="s">
        <v>147</v>
      </c>
      <c r="AA73" s="27" t="s">
        <v>148</v>
      </c>
      <c r="AB73" s="27" t="s">
        <v>149</v>
      </c>
      <c r="AC73" s="27" t="s">
        <v>150</v>
      </c>
      <c r="AD73" s="27"/>
      <c r="AE73" s="27" t="s">
        <v>151</v>
      </c>
      <c r="AF73" s="27"/>
      <c r="AG73" s="27" t="s">
        <v>152</v>
      </c>
      <c r="AH73" s="27"/>
      <c r="AI73" s="27" t="s">
        <v>153</v>
      </c>
      <c r="AJ73" s="27" t="s">
        <v>154</v>
      </c>
      <c r="AK73" s="27" t="s">
        <v>155</v>
      </c>
      <c r="AL73" s="27" t="s">
        <v>156</v>
      </c>
      <c r="AM73" s="27" t="s">
        <v>157</v>
      </c>
      <c r="AN73" s="27" t="s">
        <v>158</v>
      </c>
      <c r="AO73" s="27">
        <v>58.5</v>
      </c>
      <c r="AP73" s="27">
        <v>131</v>
      </c>
    </row>
    <row r="74" spans="2:42" ht="13.5" thickBot="1">
      <c r="B74" s="3">
        <v>434.99999999999994</v>
      </c>
      <c r="C74" s="3">
        <v>48.5</v>
      </c>
      <c r="D74" s="122">
        <v>-201.35</v>
      </c>
      <c r="E74" s="4">
        <v>-9.16</v>
      </c>
      <c r="F74" s="5">
        <v>72</v>
      </c>
      <c r="H74" s="19">
        <v>58</v>
      </c>
      <c r="I74">
        <v>147</v>
      </c>
      <c r="J74" s="5">
        <v>129</v>
      </c>
      <c r="L74" s="27" t="s">
        <v>1836</v>
      </c>
      <c r="N74" s="3">
        <v>435</v>
      </c>
      <c r="P74" s="27">
        <v>201.35</v>
      </c>
      <c r="Q74">
        <v>-1</v>
      </c>
      <c r="S74" s="19" t="s">
        <v>1837</v>
      </c>
      <c r="U74" s="37">
        <v>130</v>
      </c>
      <c r="V74" s="27" t="s">
        <v>160</v>
      </c>
      <c r="W74" s="27"/>
      <c r="X74" s="27" t="s">
        <v>161</v>
      </c>
      <c r="Y74" s="27"/>
      <c r="Z74" s="27" t="s">
        <v>162</v>
      </c>
      <c r="AA74" s="27"/>
      <c r="AB74" s="27" t="s">
        <v>163</v>
      </c>
      <c r="AC74" s="27" t="s">
        <v>164</v>
      </c>
      <c r="AD74" s="27"/>
      <c r="AE74" s="27" t="s">
        <v>165</v>
      </c>
      <c r="AF74" s="27"/>
      <c r="AG74" s="27" t="s">
        <v>166</v>
      </c>
      <c r="AH74" s="27" t="s">
        <v>167</v>
      </c>
      <c r="AI74" s="27"/>
      <c r="AJ74" s="27" t="s">
        <v>168</v>
      </c>
      <c r="AK74" s="27" t="s">
        <v>169</v>
      </c>
      <c r="AL74" s="27" t="s">
        <v>170</v>
      </c>
      <c r="AM74" s="27" t="s">
        <v>171</v>
      </c>
      <c r="AN74" s="27" t="s">
        <v>172</v>
      </c>
      <c r="AO74" s="27"/>
      <c r="AP74" s="27">
        <v>130</v>
      </c>
    </row>
    <row r="75" spans="2:42" ht="13.5" thickBot="1">
      <c r="B75" s="3">
        <v>437</v>
      </c>
      <c r="C75" s="3">
        <v>49</v>
      </c>
      <c r="D75" s="122">
        <v>-200.85</v>
      </c>
      <c r="E75" s="4">
        <v>-9.1300000000000008</v>
      </c>
      <c r="F75" s="5">
        <v>73</v>
      </c>
      <c r="H75" s="19"/>
      <c r="J75" s="5">
        <v>128</v>
      </c>
      <c r="L75" s="27" t="s">
        <v>1838</v>
      </c>
      <c r="N75" s="3">
        <v>437</v>
      </c>
      <c r="P75" s="27">
        <v>200.85</v>
      </c>
      <c r="Q75">
        <v>-1</v>
      </c>
      <c r="S75" s="19"/>
      <c r="U75" s="37">
        <v>129</v>
      </c>
      <c r="V75" s="27" t="s">
        <v>173</v>
      </c>
      <c r="W75" s="27"/>
      <c r="X75" s="27" t="s">
        <v>174</v>
      </c>
      <c r="Y75" s="27"/>
      <c r="Z75" s="27" t="s">
        <v>175</v>
      </c>
      <c r="AA75" s="27"/>
      <c r="AB75" s="27" t="s">
        <v>176</v>
      </c>
      <c r="AC75" s="27" t="s">
        <v>177</v>
      </c>
      <c r="AD75" s="27"/>
      <c r="AE75" s="27" t="s">
        <v>178</v>
      </c>
      <c r="AF75" s="27"/>
      <c r="AG75" s="27" t="s">
        <v>179</v>
      </c>
      <c r="AH75" s="27"/>
      <c r="AI75" s="27"/>
      <c r="AJ75" s="27" t="s">
        <v>180</v>
      </c>
      <c r="AK75" s="27" t="s">
        <v>181</v>
      </c>
      <c r="AL75" s="27" t="s">
        <v>48</v>
      </c>
      <c r="AM75" s="27" t="s">
        <v>182</v>
      </c>
      <c r="AN75" s="27" t="s">
        <v>183</v>
      </c>
      <c r="AO75" s="27">
        <v>58</v>
      </c>
      <c r="AP75" s="27">
        <v>140</v>
      </c>
    </row>
    <row r="76" spans="2:42" ht="13.5" thickBot="1">
      <c r="B76" s="3">
        <v>438.99999999999994</v>
      </c>
      <c r="C76" s="3">
        <v>49.5</v>
      </c>
      <c r="D76" s="122">
        <v>-200.35</v>
      </c>
      <c r="E76" s="4">
        <v>-9.1</v>
      </c>
      <c r="F76" s="5">
        <v>74</v>
      </c>
      <c r="H76" s="19">
        <v>57.5</v>
      </c>
      <c r="J76" s="5">
        <v>127</v>
      </c>
      <c r="L76" s="27" t="s">
        <v>1839</v>
      </c>
      <c r="N76" s="3">
        <v>439</v>
      </c>
      <c r="P76" s="27">
        <v>200.35</v>
      </c>
      <c r="Q76">
        <v>-1</v>
      </c>
      <c r="S76" s="19" t="s">
        <v>1840</v>
      </c>
      <c r="U76" s="37">
        <v>128</v>
      </c>
      <c r="V76" s="27" t="s">
        <v>185</v>
      </c>
      <c r="W76" s="27"/>
      <c r="X76" s="27" t="s">
        <v>186</v>
      </c>
      <c r="Y76" s="27"/>
      <c r="Z76" s="27" t="s">
        <v>187</v>
      </c>
      <c r="AA76" s="27" t="s">
        <v>188</v>
      </c>
      <c r="AB76" s="27" t="s">
        <v>189</v>
      </c>
      <c r="AC76" s="27" t="s">
        <v>190</v>
      </c>
      <c r="AD76" s="27"/>
      <c r="AE76" s="27" t="s">
        <v>191</v>
      </c>
      <c r="AF76" s="27"/>
      <c r="AG76" s="27" t="s">
        <v>192</v>
      </c>
      <c r="AH76" s="27" t="s">
        <v>193</v>
      </c>
      <c r="AI76" s="27"/>
      <c r="AJ76" s="27"/>
      <c r="AK76" s="27" t="s">
        <v>194</v>
      </c>
      <c r="AL76" s="27" t="s">
        <v>195</v>
      </c>
      <c r="AM76" s="27" t="s">
        <v>196</v>
      </c>
      <c r="AN76" s="27" t="s">
        <v>197</v>
      </c>
      <c r="AO76" s="27"/>
      <c r="AP76" s="27">
        <v>139</v>
      </c>
    </row>
    <row r="77" spans="2:42" ht="13.5" thickBot="1">
      <c r="B77" s="3">
        <v>442</v>
      </c>
      <c r="C77" s="3">
        <v>50</v>
      </c>
      <c r="D77" s="122">
        <v>-159.85</v>
      </c>
      <c r="E77" s="4">
        <v>-9.07</v>
      </c>
      <c r="F77" s="5">
        <v>75</v>
      </c>
      <c r="H77" s="19"/>
      <c r="I77">
        <v>146</v>
      </c>
      <c r="J77" s="5">
        <v>126</v>
      </c>
      <c r="L77" s="27" t="s">
        <v>1841</v>
      </c>
      <c r="N77" s="3">
        <v>442</v>
      </c>
      <c r="P77" s="27">
        <v>159.85</v>
      </c>
      <c r="Q77">
        <v>-1</v>
      </c>
      <c r="S77" s="19"/>
      <c r="U77" s="37">
        <v>127</v>
      </c>
      <c r="V77" s="27" t="s">
        <v>198</v>
      </c>
      <c r="W77" s="27"/>
      <c r="X77" s="27" t="s">
        <v>199</v>
      </c>
      <c r="Y77" s="27"/>
      <c r="Z77" s="27" t="s">
        <v>200</v>
      </c>
      <c r="AA77" s="27"/>
      <c r="AB77" s="27" t="s">
        <v>201</v>
      </c>
      <c r="AC77" s="27" t="s">
        <v>202</v>
      </c>
      <c r="AD77" s="27" t="s">
        <v>73</v>
      </c>
      <c r="AE77" s="27" t="s">
        <v>203</v>
      </c>
      <c r="AF77" s="27"/>
      <c r="AG77" s="27" t="s">
        <v>204</v>
      </c>
      <c r="AH77" s="27"/>
      <c r="AI77" s="27" t="s">
        <v>205</v>
      </c>
      <c r="AJ77" s="27" t="s">
        <v>206</v>
      </c>
      <c r="AK77" s="27" t="s">
        <v>207</v>
      </c>
      <c r="AL77" s="27" t="s">
        <v>208</v>
      </c>
      <c r="AM77" s="27" t="s">
        <v>209</v>
      </c>
      <c r="AN77" s="27" t="s">
        <v>2727</v>
      </c>
      <c r="AO77" s="27">
        <v>57.5</v>
      </c>
      <c r="AP77" s="27">
        <v>138</v>
      </c>
    </row>
    <row r="78" spans="2:42" ht="13.5" thickBot="1">
      <c r="B78" s="3">
        <v>445</v>
      </c>
      <c r="C78" s="3">
        <v>50.5</v>
      </c>
      <c r="D78" s="122">
        <v>-159.35</v>
      </c>
      <c r="E78" s="4">
        <v>-9.0500000000000007</v>
      </c>
      <c r="F78" s="5">
        <v>76</v>
      </c>
      <c r="H78" s="19">
        <v>57</v>
      </c>
      <c r="J78" s="5">
        <v>125</v>
      </c>
      <c r="L78" s="27" t="s">
        <v>1842</v>
      </c>
      <c r="N78" s="3">
        <v>445</v>
      </c>
      <c r="P78" s="27">
        <v>159.35</v>
      </c>
      <c r="Q78">
        <v>-1</v>
      </c>
      <c r="S78" s="19" t="s">
        <v>1843</v>
      </c>
      <c r="U78" s="37">
        <v>126</v>
      </c>
      <c r="V78" s="27" t="s">
        <v>211</v>
      </c>
      <c r="W78" s="27"/>
      <c r="X78" s="27" t="s">
        <v>212</v>
      </c>
      <c r="Y78" s="27" t="s">
        <v>213</v>
      </c>
      <c r="Z78" s="27" t="s">
        <v>214</v>
      </c>
      <c r="AA78" s="27" t="s">
        <v>215</v>
      </c>
      <c r="AB78" s="27" t="s">
        <v>216</v>
      </c>
      <c r="AC78" s="27" t="s">
        <v>217</v>
      </c>
      <c r="AD78" s="27"/>
      <c r="AE78" s="27" t="s">
        <v>218</v>
      </c>
      <c r="AF78" s="27" t="s">
        <v>219</v>
      </c>
      <c r="AG78" s="27" t="s">
        <v>220</v>
      </c>
      <c r="AH78" s="27" t="s">
        <v>221</v>
      </c>
      <c r="AI78" s="27"/>
      <c r="AJ78" s="27" t="s">
        <v>222</v>
      </c>
      <c r="AK78" s="27" t="s">
        <v>223</v>
      </c>
      <c r="AL78" s="27" t="s">
        <v>224</v>
      </c>
      <c r="AM78" s="27" t="s">
        <v>225</v>
      </c>
      <c r="AN78" s="27" t="s">
        <v>226</v>
      </c>
      <c r="AO78" s="27"/>
      <c r="AP78" s="27">
        <v>137</v>
      </c>
    </row>
    <row r="79" spans="2:42" ht="13.5" thickBot="1">
      <c r="B79" s="3">
        <v>447</v>
      </c>
      <c r="C79" s="3">
        <v>51</v>
      </c>
      <c r="D79" s="122">
        <v>-158.85</v>
      </c>
      <c r="E79" s="4">
        <v>-9.02</v>
      </c>
      <c r="F79" s="5">
        <v>77</v>
      </c>
      <c r="H79" s="19"/>
      <c r="J79" s="5">
        <v>124</v>
      </c>
      <c r="L79" s="27" t="s">
        <v>1844</v>
      </c>
      <c r="N79" s="3">
        <v>447</v>
      </c>
      <c r="P79" s="27">
        <v>158.85</v>
      </c>
      <c r="Q79">
        <v>-1</v>
      </c>
      <c r="S79" s="19"/>
      <c r="U79" s="37">
        <v>125</v>
      </c>
      <c r="V79" s="27" t="s">
        <v>227</v>
      </c>
      <c r="W79" s="27"/>
      <c r="X79" s="27" t="s">
        <v>228</v>
      </c>
      <c r="Y79" s="27"/>
      <c r="Z79" s="27" t="s">
        <v>229</v>
      </c>
      <c r="AA79" s="27"/>
      <c r="AB79" s="27" t="s">
        <v>230</v>
      </c>
      <c r="AC79" s="27" t="s">
        <v>231</v>
      </c>
      <c r="AD79" s="27"/>
      <c r="AE79" s="27" t="s">
        <v>232</v>
      </c>
      <c r="AF79" s="27"/>
      <c r="AG79" s="27" t="s">
        <v>233</v>
      </c>
      <c r="AH79" s="27"/>
      <c r="AI79" s="27"/>
      <c r="AJ79" s="27" t="s">
        <v>234</v>
      </c>
      <c r="AK79" s="27" t="s">
        <v>235</v>
      </c>
      <c r="AL79" s="27" t="s">
        <v>89</v>
      </c>
      <c r="AM79" s="27" t="s">
        <v>236</v>
      </c>
      <c r="AN79" s="27" t="s">
        <v>237</v>
      </c>
      <c r="AO79" s="27">
        <v>57</v>
      </c>
      <c r="AP79" s="27">
        <v>136</v>
      </c>
    </row>
    <row r="80" spans="2:42" ht="13.5" thickBot="1">
      <c r="B80" s="3">
        <v>449</v>
      </c>
      <c r="C80" s="3">
        <v>51.5</v>
      </c>
      <c r="D80" s="122">
        <v>-158.35</v>
      </c>
      <c r="E80" s="4">
        <v>-9</v>
      </c>
      <c r="F80" s="5">
        <v>78</v>
      </c>
      <c r="H80" s="19">
        <v>56.5</v>
      </c>
      <c r="I80">
        <v>145</v>
      </c>
      <c r="J80" s="5">
        <v>123</v>
      </c>
      <c r="L80" s="27" t="s">
        <v>1845</v>
      </c>
      <c r="N80" s="3">
        <v>449</v>
      </c>
      <c r="P80" s="27">
        <v>158.35</v>
      </c>
      <c r="Q80">
        <v>-1</v>
      </c>
      <c r="S80" s="19" t="s">
        <v>1846</v>
      </c>
      <c r="U80" s="37">
        <v>124</v>
      </c>
      <c r="V80" s="27" t="s">
        <v>239</v>
      </c>
      <c r="W80" s="27"/>
      <c r="X80" s="27" t="s">
        <v>240</v>
      </c>
      <c r="Y80" s="27"/>
      <c r="Z80" s="27" t="s">
        <v>241</v>
      </c>
      <c r="AA80" s="27"/>
      <c r="AB80" s="27" t="s">
        <v>242</v>
      </c>
      <c r="AC80" s="27" t="s">
        <v>243</v>
      </c>
      <c r="AD80" s="27"/>
      <c r="AE80" s="27" t="s">
        <v>244</v>
      </c>
      <c r="AF80" s="27"/>
      <c r="AG80" s="27" t="s">
        <v>245</v>
      </c>
      <c r="AH80" s="27" t="s">
        <v>246</v>
      </c>
      <c r="AI80" s="27"/>
      <c r="AJ80" s="27"/>
      <c r="AK80" s="27" t="s">
        <v>247</v>
      </c>
      <c r="AL80" s="27" t="s">
        <v>248</v>
      </c>
      <c r="AM80" s="27" t="s">
        <v>249</v>
      </c>
      <c r="AN80" s="27" t="s">
        <v>250</v>
      </c>
      <c r="AO80" s="27"/>
      <c r="AP80" s="27">
        <v>135</v>
      </c>
    </row>
    <row r="81" spans="2:42" ht="13.5" thickBot="1">
      <c r="B81" s="3">
        <v>451</v>
      </c>
      <c r="C81" s="3">
        <v>52</v>
      </c>
      <c r="D81" s="122">
        <v>-157.85</v>
      </c>
      <c r="E81" s="4">
        <v>-8.9700000000000006</v>
      </c>
      <c r="F81" s="5">
        <v>79</v>
      </c>
      <c r="G81">
        <v>-8.1999999999999993</v>
      </c>
      <c r="H81" s="19"/>
      <c r="J81" s="5">
        <v>122</v>
      </c>
      <c r="L81" s="27" t="s">
        <v>1847</v>
      </c>
      <c r="N81" s="3">
        <v>451</v>
      </c>
      <c r="P81" s="27">
        <v>157.85</v>
      </c>
      <c r="Q81">
        <v>-1</v>
      </c>
      <c r="S81" s="19"/>
      <c r="U81" s="37">
        <v>123</v>
      </c>
      <c r="V81" s="27" t="s">
        <v>251</v>
      </c>
      <c r="W81" s="27"/>
      <c r="X81" s="27" t="s">
        <v>252</v>
      </c>
      <c r="Y81" s="27"/>
      <c r="Z81" s="27" t="s">
        <v>253</v>
      </c>
      <c r="AA81" s="27" t="s">
        <v>254</v>
      </c>
      <c r="AB81" s="27" t="s">
        <v>255</v>
      </c>
      <c r="AC81" s="27" t="s">
        <v>256</v>
      </c>
      <c r="AD81" s="27"/>
      <c r="AE81" s="27" t="s">
        <v>257</v>
      </c>
      <c r="AF81" s="27"/>
      <c r="AG81" s="27" t="s">
        <v>258</v>
      </c>
      <c r="AH81" s="27"/>
      <c r="AI81" s="27" t="s">
        <v>259</v>
      </c>
      <c r="AJ81" s="27" t="s">
        <v>260</v>
      </c>
      <c r="AK81" s="27" t="s">
        <v>261</v>
      </c>
      <c r="AL81" s="27" t="s">
        <v>262</v>
      </c>
      <c r="AM81" s="27" t="s">
        <v>264</v>
      </c>
      <c r="AN81" s="27" t="s">
        <v>265</v>
      </c>
      <c r="AO81" s="27">
        <v>56.5</v>
      </c>
      <c r="AP81" s="27">
        <v>123</v>
      </c>
    </row>
    <row r="82" spans="2:42" ht="13.5" thickBot="1">
      <c r="B82" s="3">
        <v>453</v>
      </c>
      <c r="C82" s="3">
        <v>52.5</v>
      </c>
      <c r="D82" s="122">
        <v>-157.30000000000001</v>
      </c>
      <c r="E82" s="4">
        <v>-8.9499999999999993</v>
      </c>
      <c r="F82" s="5">
        <v>80</v>
      </c>
      <c r="H82" s="19">
        <v>56</v>
      </c>
      <c r="J82" s="5">
        <v>121</v>
      </c>
      <c r="L82" s="27" t="s">
        <v>1848</v>
      </c>
      <c r="N82" s="3">
        <v>453</v>
      </c>
      <c r="P82" s="27">
        <v>157.30000000000001</v>
      </c>
      <c r="Q82">
        <v>-1</v>
      </c>
      <c r="S82" s="19" t="s">
        <v>1849</v>
      </c>
      <c r="U82" s="37">
        <v>122</v>
      </c>
      <c r="V82" s="27" t="s">
        <v>267</v>
      </c>
      <c r="W82" s="27" t="s">
        <v>268</v>
      </c>
      <c r="X82" s="27" t="s">
        <v>269</v>
      </c>
      <c r="Y82" s="27"/>
      <c r="Z82" s="27" t="s">
        <v>270</v>
      </c>
      <c r="AA82" s="27"/>
      <c r="AB82" s="27" t="s">
        <v>271</v>
      </c>
      <c r="AC82" s="27" t="s">
        <v>272</v>
      </c>
      <c r="AD82" s="27" t="s">
        <v>137</v>
      </c>
      <c r="AE82" s="27" t="s">
        <v>273</v>
      </c>
      <c r="AF82" s="27"/>
      <c r="AG82" s="27" t="s">
        <v>274</v>
      </c>
      <c r="AH82" s="27" t="s">
        <v>275</v>
      </c>
      <c r="AI82" s="27"/>
      <c r="AJ82" s="27" t="s">
        <v>276</v>
      </c>
      <c r="AK82" s="27" t="s">
        <v>277</v>
      </c>
      <c r="AL82" s="27" t="s">
        <v>278</v>
      </c>
      <c r="AM82" s="27" t="s">
        <v>279</v>
      </c>
      <c r="AN82" s="27" t="s">
        <v>280</v>
      </c>
      <c r="AO82" s="27"/>
      <c r="AP82" s="27">
        <v>122</v>
      </c>
    </row>
    <row r="83" spans="2:42" ht="13.5" thickBot="1">
      <c r="B83" s="3">
        <v>455</v>
      </c>
      <c r="C83" s="3">
        <v>53</v>
      </c>
      <c r="D83" s="122">
        <v>-156.75</v>
      </c>
      <c r="E83" s="4">
        <v>-8.93</v>
      </c>
      <c r="F83" s="5">
        <v>81</v>
      </c>
      <c r="H83" s="19"/>
      <c r="I83">
        <v>144</v>
      </c>
      <c r="J83" s="5">
        <v>120</v>
      </c>
      <c r="L83" s="27" t="s">
        <v>1850</v>
      </c>
      <c r="N83" s="3">
        <v>455</v>
      </c>
      <c r="P83" s="27">
        <v>156.75</v>
      </c>
      <c r="Q83">
        <v>-1</v>
      </c>
      <c r="S83" s="19"/>
      <c r="U83" s="37">
        <v>121</v>
      </c>
      <c r="V83" s="27" t="s">
        <v>281</v>
      </c>
      <c r="W83" s="27"/>
      <c r="X83" s="27" t="s">
        <v>282</v>
      </c>
      <c r="Y83" s="27"/>
      <c r="Z83" s="27" t="s">
        <v>283</v>
      </c>
      <c r="AA83" s="27" t="s">
        <v>284</v>
      </c>
      <c r="AB83" s="27" t="s">
        <v>285</v>
      </c>
      <c r="AC83" s="27" t="s">
        <v>286</v>
      </c>
      <c r="AD83" s="27"/>
      <c r="AE83" s="27" t="s">
        <v>287</v>
      </c>
      <c r="AF83" s="27"/>
      <c r="AG83" s="27" t="s">
        <v>288</v>
      </c>
      <c r="AH83" s="27"/>
      <c r="AI83" s="27"/>
      <c r="AJ83" s="27" t="s">
        <v>289</v>
      </c>
      <c r="AK83" s="27" t="s">
        <v>290</v>
      </c>
      <c r="AL83" s="27" t="s">
        <v>127</v>
      </c>
      <c r="AM83" s="27" t="s">
        <v>291</v>
      </c>
      <c r="AN83" s="27" t="s">
        <v>292</v>
      </c>
      <c r="AO83" s="27">
        <v>56</v>
      </c>
      <c r="AP83" s="27">
        <v>121</v>
      </c>
    </row>
    <row r="84" spans="2:42" ht="13.5" thickBot="1">
      <c r="B84" s="3">
        <v>455.99999999999994</v>
      </c>
      <c r="C84" s="3">
        <v>53.5</v>
      </c>
      <c r="D84" s="122">
        <v>-156.15</v>
      </c>
      <c r="E84" s="4">
        <v>-8.91</v>
      </c>
      <c r="F84" s="5">
        <v>82</v>
      </c>
      <c r="H84" s="19">
        <v>55.5</v>
      </c>
      <c r="J84" s="5">
        <v>119</v>
      </c>
      <c r="L84" s="27" t="s">
        <v>1851</v>
      </c>
      <c r="N84" s="3">
        <v>456</v>
      </c>
      <c r="P84" s="27">
        <v>156.15</v>
      </c>
      <c r="Q84">
        <v>-1</v>
      </c>
      <c r="S84" s="19" t="s">
        <v>1852</v>
      </c>
      <c r="U84" s="37">
        <v>120</v>
      </c>
      <c r="V84" s="27" t="s">
        <v>294</v>
      </c>
      <c r="W84" s="27"/>
      <c r="X84" s="27" t="s">
        <v>295</v>
      </c>
      <c r="Y84" s="27" t="s">
        <v>296</v>
      </c>
      <c r="Z84" s="27" t="s">
        <v>2226</v>
      </c>
      <c r="AA84" s="27"/>
      <c r="AB84" s="27" t="s">
        <v>297</v>
      </c>
      <c r="AC84" s="27" t="s">
        <v>298</v>
      </c>
      <c r="AD84" s="27"/>
      <c r="AE84" s="27" t="s">
        <v>299</v>
      </c>
      <c r="AF84" s="27"/>
      <c r="AG84" s="27" t="s">
        <v>300</v>
      </c>
      <c r="AH84" s="27" t="s">
        <v>301</v>
      </c>
      <c r="AI84" s="27"/>
      <c r="AJ84" s="27"/>
      <c r="AK84" s="27" t="s">
        <v>302</v>
      </c>
      <c r="AL84" s="27" t="s">
        <v>303</v>
      </c>
      <c r="AM84" s="27" t="s">
        <v>304</v>
      </c>
      <c r="AN84" s="27" t="s">
        <v>305</v>
      </c>
      <c r="AO84" s="27"/>
      <c r="AP84" s="27">
        <v>120</v>
      </c>
    </row>
    <row r="85" spans="2:42" ht="13.5" thickBot="1">
      <c r="B85" s="3">
        <v>458</v>
      </c>
      <c r="C85" s="3">
        <v>54</v>
      </c>
      <c r="D85" s="122">
        <v>-155.55000000000001</v>
      </c>
      <c r="E85" s="4">
        <v>-8.89</v>
      </c>
      <c r="F85" s="5">
        <v>83</v>
      </c>
      <c r="H85" s="19"/>
      <c r="J85" s="5">
        <v>118</v>
      </c>
      <c r="L85" s="27" t="s">
        <v>1853</v>
      </c>
      <c r="N85" s="3">
        <v>458</v>
      </c>
      <c r="P85" s="27">
        <v>155.55000000000001</v>
      </c>
      <c r="Q85">
        <v>-1</v>
      </c>
      <c r="S85" s="19"/>
      <c r="U85" s="37">
        <v>119</v>
      </c>
      <c r="V85" s="27" t="s">
        <v>306</v>
      </c>
      <c r="W85" s="27"/>
      <c r="X85" s="27" t="s">
        <v>307</v>
      </c>
      <c r="Y85" s="27"/>
      <c r="Z85" s="27" t="s">
        <v>308</v>
      </c>
      <c r="AA85" s="27" t="s">
        <v>309</v>
      </c>
      <c r="AB85" s="27" t="s">
        <v>310</v>
      </c>
      <c r="AC85" s="27" t="s">
        <v>311</v>
      </c>
      <c r="AD85" s="27"/>
      <c r="AE85" s="27" t="s">
        <v>312</v>
      </c>
      <c r="AF85" s="27"/>
      <c r="AG85" s="27" t="s">
        <v>313</v>
      </c>
      <c r="AH85" s="27"/>
      <c r="AI85" s="27" t="s">
        <v>314</v>
      </c>
      <c r="AJ85" s="27" t="s">
        <v>315</v>
      </c>
      <c r="AK85" s="27" t="s">
        <v>316</v>
      </c>
      <c r="AL85" s="27" t="s">
        <v>317</v>
      </c>
      <c r="AM85" s="27" t="s">
        <v>318</v>
      </c>
      <c r="AN85" s="27" t="s">
        <v>319</v>
      </c>
      <c r="AO85" s="27">
        <v>55.5</v>
      </c>
      <c r="AP85" s="27">
        <v>119</v>
      </c>
    </row>
    <row r="86" spans="2:42" ht="13.5" thickBot="1">
      <c r="B86" s="3">
        <v>459</v>
      </c>
      <c r="C86" s="3">
        <v>54.5</v>
      </c>
      <c r="D86" s="122">
        <v>-154.94999999999999</v>
      </c>
      <c r="E86" s="4">
        <v>-8.8699999999999992</v>
      </c>
      <c r="F86" s="5">
        <v>84</v>
      </c>
      <c r="H86" s="19">
        <v>55</v>
      </c>
      <c r="I86">
        <v>143</v>
      </c>
      <c r="J86" s="5">
        <v>117</v>
      </c>
      <c r="L86" s="27" t="s">
        <v>1854</v>
      </c>
      <c r="N86" s="3">
        <v>459</v>
      </c>
      <c r="P86" s="27">
        <v>154.94999999999999</v>
      </c>
      <c r="Q86">
        <v>-1</v>
      </c>
      <c r="S86" s="19" t="s">
        <v>1855</v>
      </c>
      <c r="U86" s="37">
        <v>118</v>
      </c>
      <c r="V86" s="27" t="s">
        <v>321</v>
      </c>
      <c r="W86" s="27"/>
      <c r="X86" s="27" t="s">
        <v>322</v>
      </c>
      <c r="Y86" s="27"/>
      <c r="Z86" s="27" t="s">
        <v>323</v>
      </c>
      <c r="AA86" s="27"/>
      <c r="AB86" s="27" t="s">
        <v>324</v>
      </c>
      <c r="AC86" s="27" t="s">
        <v>203</v>
      </c>
      <c r="AD86" s="27"/>
      <c r="AE86" s="27" t="s">
        <v>325</v>
      </c>
      <c r="AF86" s="27"/>
      <c r="AG86" s="27" t="s">
        <v>326</v>
      </c>
      <c r="AH86" s="27" t="s">
        <v>327</v>
      </c>
      <c r="AI86" s="27"/>
      <c r="AJ86" s="27" t="s">
        <v>328</v>
      </c>
      <c r="AK86" s="27" t="s">
        <v>329</v>
      </c>
      <c r="AL86" s="27" t="s">
        <v>330</v>
      </c>
      <c r="AM86" s="27" t="s">
        <v>331</v>
      </c>
      <c r="AN86" s="27" t="s">
        <v>332</v>
      </c>
      <c r="AO86" s="27"/>
      <c r="AP86" s="27">
        <v>119</v>
      </c>
    </row>
    <row r="87" spans="2:42" ht="13.5" thickBot="1">
      <c r="B87" s="3">
        <v>461.00000000000006</v>
      </c>
      <c r="C87" s="3">
        <v>55</v>
      </c>
      <c r="D87" s="122">
        <v>-154.35</v>
      </c>
      <c r="E87" s="4">
        <v>-8.84</v>
      </c>
      <c r="F87" s="5">
        <v>85</v>
      </c>
      <c r="H87" s="19"/>
      <c r="J87" s="5">
        <v>116</v>
      </c>
      <c r="L87" s="27" t="s">
        <v>1856</v>
      </c>
      <c r="N87" s="3">
        <v>461</v>
      </c>
      <c r="P87" s="27">
        <v>154.35</v>
      </c>
      <c r="Q87">
        <v>-1</v>
      </c>
      <c r="S87" s="19"/>
      <c r="U87" s="37">
        <v>117</v>
      </c>
      <c r="V87" s="27" t="s">
        <v>333</v>
      </c>
      <c r="W87" s="27"/>
      <c r="X87" s="27" t="s">
        <v>334</v>
      </c>
      <c r="Y87" s="27"/>
      <c r="Z87" s="27" t="s">
        <v>335</v>
      </c>
      <c r="AA87" s="27" t="s">
        <v>336</v>
      </c>
      <c r="AB87" s="27" t="s">
        <v>337</v>
      </c>
      <c r="AC87" s="27" t="s">
        <v>218</v>
      </c>
      <c r="AD87" s="27" t="s">
        <v>219</v>
      </c>
      <c r="AE87" s="27" t="s">
        <v>338</v>
      </c>
      <c r="AF87" s="27"/>
      <c r="AG87" s="27" t="s">
        <v>339</v>
      </c>
      <c r="AH87" s="27"/>
      <c r="AI87" s="27"/>
      <c r="AJ87" s="27" t="s">
        <v>340</v>
      </c>
      <c r="AK87" s="27" t="s">
        <v>341</v>
      </c>
      <c r="AL87" s="27" t="s">
        <v>342</v>
      </c>
      <c r="AM87" s="27" t="s">
        <v>343</v>
      </c>
      <c r="AN87" s="27" t="s">
        <v>344</v>
      </c>
      <c r="AO87" s="27">
        <v>55</v>
      </c>
      <c r="AP87" s="27">
        <v>117</v>
      </c>
    </row>
    <row r="88" spans="2:42" ht="13.5" thickBot="1">
      <c r="B88" s="3">
        <v>462</v>
      </c>
      <c r="C88" s="3">
        <v>55.5</v>
      </c>
      <c r="D88" s="122">
        <v>-153.75</v>
      </c>
      <c r="E88" s="4">
        <v>-8.81</v>
      </c>
      <c r="F88" s="5">
        <v>86</v>
      </c>
      <c r="H88" s="19">
        <v>54.5</v>
      </c>
      <c r="J88" s="5">
        <v>115</v>
      </c>
      <c r="L88" s="27" t="s">
        <v>1857</v>
      </c>
      <c r="N88" s="3">
        <v>462</v>
      </c>
      <c r="P88" s="27">
        <v>153.75</v>
      </c>
      <c r="Q88">
        <v>-1</v>
      </c>
      <c r="S88" s="19" t="s">
        <v>1858</v>
      </c>
      <c r="U88" s="37">
        <v>116</v>
      </c>
      <c r="V88" s="27" t="s">
        <v>346</v>
      </c>
      <c r="W88" s="27"/>
      <c r="X88" s="27" t="s">
        <v>2134</v>
      </c>
      <c r="Y88" s="27"/>
      <c r="Z88" s="27" t="s">
        <v>347</v>
      </c>
      <c r="AA88" s="27"/>
      <c r="AB88" s="27" t="s">
        <v>348</v>
      </c>
      <c r="AC88" s="27" t="s">
        <v>244</v>
      </c>
      <c r="AD88" s="27"/>
      <c r="AE88" s="27" t="s">
        <v>349</v>
      </c>
      <c r="AF88" s="27" t="s">
        <v>350</v>
      </c>
      <c r="AG88" s="27" t="s">
        <v>351</v>
      </c>
      <c r="AH88" s="27" t="s">
        <v>352</v>
      </c>
      <c r="AI88" s="27"/>
      <c r="AJ88" s="27"/>
      <c r="AK88" s="27" t="s">
        <v>321</v>
      </c>
      <c r="AL88" s="27" t="s">
        <v>353</v>
      </c>
      <c r="AM88" s="27" t="s">
        <v>354</v>
      </c>
      <c r="AN88" s="27" t="s">
        <v>355</v>
      </c>
      <c r="AO88" s="27"/>
      <c r="AP88" s="27">
        <v>116</v>
      </c>
    </row>
    <row r="89" spans="2:42" ht="13.5" thickBot="1">
      <c r="B89" s="3">
        <v>463</v>
      </c>
      <c r="C89" s="3">
        <v>56</v>
      </c>
      <c r="D89" s="122">
        <v>-153.19999999999999</v>
      </c>
      <c r="E89" s="4">
        <v>-8.7799999999999994</v>
      </c>
      <c r="F89" s="5">
        <v>87</v>
      </c>
      <c r="H89" s="19"/>
      <c r="I89">
        <v>142</v>
      </c>
      <c r="J89" s="5">
        <v>114</v>
      </c>
      <c r="L89" s="27" t="s">
        <v>1859</v>
      </c>
      <c r="N89" s="3">
        <v>463</v>
      </c>
      <c r="P89" s="27">
        <v>153.19999999999999</v>
      </c>
      <c r="Q89">
        <v>-1</v>
      </c>
      <c r="S89" s="19"/>
      <c r="U89" s="37">
        <v>115</v>
      </c>
      <c r="V89" s="27" t="s">
        <v>341</v>
      </c>
      <c r="W89" s="27"/>
      <c r="X89" s="27" t="s">
        <v>356</v>
      </c>
      <c r="Y89" s="27" t="s">
        <v>357</v>
      </c>
      <c r="Z89" s="27" t="s">
        <v>358</v>
      </c>
      <c r="AA89" s="27" t="s">
        <v>359</v>
      </c>
      <c r="AB89" s="27" t="s">
        <v>360</v>
      </c>
      <c r="AC89" s="27" t="s">
        <v>273</v>
      </c>
      <c r="AD89" s="27"/>
      <c r="AE89" s="27" t="s">
        <v>361</v>
      </c>
      <c r="AF89" s="27"/>
      <c r="AG89" s="27" t="s">
        <v>362</v>
      </c>
      <c r="AH89" s="27"/>
      <c r="AI89" s="27" t="s">
        <v>363</v>
      </c>
      <c r="AJ89" s="27" t="s">
        <v>364</v>
      </c>
      <c r="AK89" s="27" t="s">
        <v>281</v>
      </c>
      <c r="AL89" s="27" t="s">
        <v>181</v>
      </c>
      <c r="AM89" s="27" t="s">
        <v>365</v>
      </c>
      <c r="AN89" s="27" t="s">
        <v>366</v>
      </c>
      <c r="AO89" s="27">
        <v>54.5</v>
      </c>
      <c r="AP89" s="27">
        <v>115</v>
      </c>
    </row>
    <row r="90" spans="2:42" ht="13.5" thickBot="1">
      <c r="B90" s="3">
        <v>463.99999999999994</v>
      </c>
      <c r="C90" s="3">
        <v>56.5</v>
      </c>
      <c r="D90" s="122">
        <v>-152.69999999999999</v>
      </c>
      <c r="E90" s="4">
        <v>-8.75</v>
      </c>
      <c r="F90" s="5">
        <v>88</v>
      </c>
      <c r="G90">
        <v>-8.3000000000000007</v>
      </c>
      <c r="H90" s="19">
        <v>54</v>
      </c>
      <c r="J90" s="5">
        <v>113</v>
      </c>
      <c r="L90" s="27" t="s">
        <v>1860</v>
      </c>
      <c r="N90" s="3">
        <v>464</v>
      </c>
      <c r="P90" s="27">
        <v>152.69999999999999</v>
      </c>
      <c r="Q90">
        <v>-1</v>
      </c>
      <c r="S90" s="19" t="s">
        <v>1861</v>
      </c>
      <c r="U90" s="37">
        <v>114</v>
      </c>
      <c r="V90" s="27" t="s">
        <v>368</v>
      </c>
      <c r="W90" s="27"/>
      <c r="X90" s="27" t="s">
        <v>369</v>
      </c>
      <c r="Y90" s="27"/>
      <c r="Z90" s="27" t="s">
        <v>370</v>
      </c>
      <c r="AA90" s="27" t="s">
        <v>371</v>
      </c>
      <c r="AB90" s="27" t="s">
        <v>372</v>
      </c>
      <c r="AC90" s="27" t="s">
        <v>299</v>
      </c>
      <c r="AD90" s="27"/>
      <c r="AE90" s="27" t="s">
        <v>373</v>
      </c>
      <c r="AF90" s="27"/>
      <c r="AG90" s="27" t="s">
        <v>374</v>
      </c>
      <c r="AH90" s="27" t="s">
        <v>375</v>
      </c>
      <c r="AI90" s="27"/>
      <c r="AJ90" s="27" t="s">
        <v>376</v>
      </c>
      <c r="AK90" s="27" t="s">
        <v>239</v>
      </c>
      <c r="AL90" s="27" t="s">
        <v>377</v>
      </c>
      <c r="AM90" s="27" t="s">
        <v>378</v>
      </c>
      <c r="AN90" s="27" t="s">
        <v>379</v>
      </c>
      <c r="AO90" s="27"/>
      <c r="AP90" s="27">
        <v>114</v>
      </c>
    </row>
    <row r="91" spans="2:42" ht="13.5" thickBot="1">
      <c r="B91" s="3">
        <v>466</v>
      </c>
      <c r="C91" s="3">
        <v>57</v>
      </c>
      <c r="D91" s="122">
        <v>-152.19999999999999</v>
      </c>
      <c r="E91" s="4">
        <v>-8.7200000000000006</v>
      </c>
      <c r="F91" s="5">
        <v>89</v>
      </c>
      <c r="H91" s="19"/>
      <c r="J91" s="5">
        <v>112</v>
      </c>
      <c r="L91" s="27" t="s">
        <v>1862</v>
      </c>
      <c r="N91" s="3">
        <v>466</v>
      </c>
      <c r="P91" s="27">
        <v>152.19999999999999</v>
      </c>
      <c r="Q91">
        <v>-1</v>
      </c>
      <c r="S91" s="19"/>
      <c r="U91" s="37">
        <v>113</v>
      </c>
      <c r="V91" s="27" t="s">
        <v>380</v>
      </c>
      <c r="W91" s="27" t="s">
        <v>381</v>
      </c>
      <c r="X91" s="27" t="s">
        <v>382</v>
      </c>
      <c r="Y91" s="27"/>
      <c r="Z91" s="27" t="s">
        <v>383</v>
      </c>
      <c r="AA91" s="27"/>
      <c r="AB91" s="27" t="s">
        <v>384</v>
      </c>
      <c r="AC91" s="27" t="s">
        <v>325</v>
      </c>
      <c r="AD91" s="27"/>
      <c r="AE91" s="27" t="s">
        <v>385</v>
      </c>
      <c r="AF91" s="27"/>
      <c r="AG91" s="27" t="s">
        <v>386</v>
      </c>
      <c r="AH91" s="27"/>
      <c r="AI91" s="27"/>
      <c r="AJ91" s="27" t="s">
        <v>387</v>
      </c>
      <c r="AK91" s="27" t="s">
        <v>198</v>
      </c>
      <c r="AL91" s="27" t="s">
        <v>194</v>
      </c>
      <c r="AM91" s="27" t="s">
        <v>388</v>
      </c>
      <c r="AN91" s="27" t="s">
        <v>389</v>
      </c>
      <c r="AO91" s="27">
        <v>54</v>
      </c>
      <c r="AP91" s="27">
        <v>113</v>
      </c>
    </row>
    <row r="92" spans="2:42" ht="13.5" thickBot="1">
      <c r="B92" s="3">
        <v>467</v>
      </c>
      <c r="C92" s="3">
        <v>57.5</v>
      </c>
      <c r="D92" s="122">
        <v>-151.75</v>
      </c>
      <c r="E92" s="4">
        <v>-8.69</v>
      </c>
      <c r="F92" s="5">
        <v>90</v>
      </c>
      <c r="H92" s="19">
        <v>53.5</v>
      </c>
      <c r="I92">
        <v>141</v>
      </c>
      <c r="J92" s="5">
        <v>111</v>
      </c>
      <c r="L92" s="27" t="s">
        <v>1863</v>
      </c>
      <c r="N92" s="3">
        <v>467</v>
      </c>
      <c r="P92" s="27">
        <v>151.75</v>
      </c>
      <c r="Q92">
        <v>-1</v>
      </c>
      <c r="S92" s="19" t="s">
        <v>1864</v>
      </c>
      <c r="U92" s="37">
        <v>112</v>
      </c>
      <c r="V92" s="27" t="s">
        <v>391</v>
      </c>
      <c r="W92" s="27"/>
      <c r="X92" s="27" t="s">
        <v>2121</v>
      </c>
      <c r="Y92" s="27"/>
      <c r="Z92" s="27" t="s">
        <v>392</v>
      </c>
      <c r="AA92" s="27" t="s">
        <v>393</v>
      </c>
      <c r="AB92" s="27" t="s">
        <v>394</v>
      </c>
      <c r="AC92" s="27" t="s">
        <v>338</v>
      </c>
      <c r="AD92" s="27"/>
      <c r="AE92" s="27" t="s">
        <v>395</v>
      </c>
      <c r="AF92" s="27"/>
      <c r="AG92" s="27" t="s">
        <v>396</v>
      </c>
      <c r="AH92" s="27" t="s">
        <v>397</v>
      </c>
      <c r="AI92" s="27"/>
      <c r="AJ92" s="27"/>
      <c r="AK92" s="27" t="s">
        <v>398</v>
      </c>
      <c r="AL92" s="27" t="s">
        <v>399</v>
      </c>
      <c r="AM92" s="27" t="s">
        <v>400</v>
      </c>
      <c r="AN92" s="27" t="s">
        <v>401</v>
      </c>
      <c r="AO92" s="27"/>
      <c r="AP92" s="27">
        <v>112</v>
      </c>
    </row>
    <row r="93" spans="2:42" ht="13.5" thickBot="1">
      <c r="B93" s="3">
        <v>468</v>
      </c>
      <c r="C93" s="3">
        <v>58</v>
      </c>
      <c r="D93" s="122">
        <v>-151.30000000000001</v>
      </c>
      <c r="E93" s="4">
        <v>-8.66</v>
      </c>
      <c r="F93" s="5">
        <v>91</v>
      </c>
      <c r="H93" s="19"/>
      <c r="J93" s="5">
        <v>110</v>
      </c>
      <c r="L93" s="27" t="s">
        <v>1865</v>
      </c>
      <c r="N93" s="3">
        <v>468</v>
      </c>
      <c r="P93" s="27">
        <v>151.30000000000001</v>
      </c>
      <c r="Q93">
        <v>-1</v>
      </c>
      <c r="R93" s="28"/>
      <c r="S93" s="19"/>
      <c r="U93" s="37">
        <v>111</v>
      </c>
      <c r="V93" s="27" t="s">
        <v>402</v>
      </c>
      <c r="W93" s="27"/>
      <c r="X93" s="27" t="s">
        <v>403</v>
      </c>
      <c r="Y93" s="27"/>
      <c r="Z93" s="27" t="s">
        <v>404</v>
      </c>
      <c r="AA93" s="27" t="s">
        <v>405</v>
      </c>
      <c r="AB93" s="27" t="s">
        <v>406</v>
      </c>
      <c r="AC93" s="27" t="s">
        <v>349</v>
      </c>
      <c r="AD93" s="27" t="s">
        <v>350</v>
      </c>
      <c r="AE93" s="27" t="s">
        <v>407</v>
      </c>
      <c r="AF93" s="27"/>
      <c r="AG93" s="27" t="s">
        <v>408</v>
      </c>
      <c r="AH93" s="27" t="s">
        <v>409</v>
      </c>
      <c r="AI93" s="27"/>
      <c r="AJ93" s="27" t="s">
        <v>410</v>
      </c>
      <c r="AK93" s="27" t="s">
        <v>131</v>
      </c>
      <c r="AL93" s="27" t="s">
        <v>411</v>
      </c>
      <c r="AM93" s="27" t="s">
        <v>412</v>
      </c>
      <c r="AN93" s="27" t="s">
        <v>413</v>
      </c>
      <c r="AO93" s="27">
        <v>53.5</v>
      </c>
      <c r="AP93" s="27">
        <v>111</v>
      </c>
    </row>
    <row r="94" spans="2:42" ht="13.5" thickBot="1">
      <c r="B94" s="3">
        <v>469.00000000000006</v>
      </c>
      <c r="C94" s="3">
        <v>58.5</v>
      </c>
      <c r="D94" s="122">
        <v>-150.9</v>
      </c>
      <c r="E94" s="4">
        <v>-8.64</v>
      </c>
      <c r="F94" s="5">
        <v>92</v>
      </c>
      <c r="H94" s="19">
        <v>53</v>
      </c>
      <c r="J94" s="5">
        <v>109</v>
      </c>
      <c r="L94" s="27" t="s">
        <v>1866</v>
      </c>
      <c r="N94" s="3">
        <v>469</v>
      </c>
      <c r="P94" s="27">
        <v>150.9</v>
      </c>
      <c r="Q94">
        <v>-1</v>
      </c>
      <c r="R94" s="4">
        <v>-11.6</v>
      </c>
      <c r="S94" s="19" t="s">
        <v>1867</v>
      </c>
      <c r="U94" s="37">
        <v>110</v>
      </c>
      <c r="V94" s="27" t="s">
        <v>316</v>
      </c>
      <c r="W94" s="27"/>
      <c r="X94" s="27" t="s">
        <v>415</v>
      </c>
      <c r="Y94" s="27"/>
      <c r="Z94" s="27" t="s">
        <v>416</v>
      </c>
      <c r="AA94" s="27"/>
      <c r="AB94" s="27" t="s">
        <v>417</v>
      </c>
      <c r="AC94" s="27" t="s">
        <v>373</v>
      </c>
      <c r="AD94" s="27"/>
      <c r="AE94" s="27" t="s">
        <v>418</v>
      </c>
      <c r="AF94" s="27"/>
      <c r="AG94" s="27" t="s">
        <v>419</v>
      </c>
      <c r="AH94" s="27"/>
      <c r="AI94" s="27" t="s">
        <v>420</v>
      </c>
      <c r="AJ94" s="27" t="s">
        <v>421</v>
      </c>
      <c r="AK94" s="27" t="s">
        <v>422</v>
      </c>
      <c r="AL94" s="27" t="s">
        <v>423</v>
      </c>
      <c r="AM94" s="27" t="s">
        <v>424</v>
      </c>
      <c r="AN94" s="27" t="s">
        <v>425</v>
      </c>
      <c r="AO94" s="27"/>
      <c r="AP94" s="27">
        <v>110</v>
      </c>
    </row>
    <row r="95" spans="2:42" ht="13.5" thickBot="1">
      <c r="B95" s="3">
        <v>470</v>
      </c>
      <c r="C95" s="3">
        <v>59</v>
      </c>
      <c r="D95" s="122">
        <v>-150.5</v>
      </c>
      <c r="E95" s="4">
        <v>-8.6199999999999992</v>
      </c>
      <c r="F95" s="5">
        <v>93</v>
      </c>
      <c r="H95" s="19">
        <v>52.5</v>
      </c>
      <c r="I95">
        <v>140</v>
      </c>
      <c r="J95" s="5">
        <v>108</v>
      </c>
      <c r="L95" s="27" t="s">
        <v>1868</v>
      </c>
      <c r="N95" s="3">
        <v>470</v>
      </c>
      <c r="P95" s="27">
        <v>150.5</v>
      </c>
      <c r="Q95">
        <v>-1</v>
      </c>
      <c r="R95" s="4">
        <v>-11.45</v>
      </c>
      <c r="S95" s="19" t="s">
        <v>1869</v>
      </c>
      <c r="U95" s="37">
        <v>109</v>
      </c>
      <c r="V95" s="27" t="s">
        <v>426</v>
      </c>
      <c r="W95" s="27"/>
      <c r="X95" s="27" t="s">
        <v>427</v>
      </c>
      <c r="Y95" s="27" t="s">
        <v>428</v>
      </c>
      <c r="Z95" s="27" t="s">
        <v>429</v>
      </c>
      <c r="AA95" s="27" t="s">
        <v>430</v>
      </c>
      <c r="AB95" s="27" t="s">
        <v>431</v>
      </c>
      <c r="AC95" s="27" t="s">
        <v>395</v>
      </c>
      <c r="AD95" s="27"/>
      <c r="AE95" s="27" t="s">
        <v>432</v>
      </c>
      <c r="AF95" s="27"/>
      <c r="AG95" s="27" t="s">
        <v>433</v>
      </c>
      <c r="AH95" s="27" t="s">
        <v>414</v>
      </c>
      <c r="AI95" s="27"/>
      <c r="AJ95" s="27" t="s">
        <v>434</v>
      </c>
      <c r="AK95" s="27" t="s">
        <v>435</v>
      </c>
      <c r="AL95" s="27" t="s">
        <v>436</v>
      </c>
      <c r="AM95" s="27" t="s">
        <v>437</v>
      </c>
      <c r="AN95" s="27" t="s">
        <v>438</v>
      </c>
      <c r="AO95" s="27">
        <v>53</v>
      </c>
      <c r="AP95" s="27">
        <v>109</v>
      </c>
    </row>
    <row r="96" spans="2:42" ht="13.5" thickBot="1">
      <c r="B96" s="3">
        <v>471</v>
      </c>
      <c r="C96" s="3">
        <v>59.5</v>
      </c>
      <c r="D96" s="122">
        <v>-150.15</v>
      </c>
      <c r="E96" s="4">
        <v>-8.6</v>
      </c>
      <c r="F96" s="5">
        <v>94</v>
      </c>
      <c r="H96" s="19"/>
      <c r="J96" s="5">
        <v>107</v>
      </c>
      <c r="L96" s="27" t="s">
        <v>1870</v>
      </c>
      <c r="N96" s="3">
        <v>471</v>
      </c>
      <c r="P96" s="27">
        <v>150.15</v>
      </c>
      <c r="Q96">
        <v>-1</v>
      </c>
      <c r="R96" s="4">
        <v>-11.3</v>
      </c>
      <c r="S96" s="19"/>
      <c r="U96" s="37">
        <v>108</v>
      </c>
      <c r="V96" s="27" t="s">
        <v>302</v>
      </c>
      <c r="W96" s="27"/>
      <c r="X96" s="27" t="s">
        <v>439</v>
      </c>
      <c r="Y96" s="27"/>
      <c r="Z96" s="27" t="s">
        <v>440</v>
      </c>
      <c r="AA96" s="27" t="s">
        <v>441</v>
      </c>
      <c r="AB96" s="27" t="s">
        <v>442</v>
      </c>
      <c r="AC96" s="27" t="s">
        <v>418</v>
      </c>
      <c r="AD96" s="27"/>
      <c r="AE96" s="27" t="s">
        <v>443</v>
      </c>
      <c r="AF96" s="27"/>
      <c r="AG96" s="27" t="s">
        <v>444</v>
      </c>
      <c r="AH96" s="27"/>
      <c r="AI96" s="27"/>
      <c r="AJ96" s="27"/>
      <c r="AK96" s="27" t="s">
        <v>39</v>
      </c>
      <c r="AL96" s="27" t="s">
        <v>445</v>
      </c>
      <c r="AM96" s="27" t="s">
        <v>446</v>
      </c>
      <c r="AN96" s="27" t="s">
        <v>447</v>
      </c>
      <c r="AO96" s="27">
        <v>52.5</v>
      </c>
      <c r="AP96" s="27">
        <v>108</v>
      </c>
    </row>
    <row r="97" spans="2:42" ht="13.5" thickBot="1">
      <c r="B97" s="3">
        <v>472</v>
      </c>
      <c r="C97" s="3">
        <v>60</v>
      </c>
      <c r="D97" s="122">
        <v>-149.80000000000001</v>
      </c>
      <c r="E97" s="4">
        <v>-8.58</v>
      </c>
      <c r="F97" s="5">
        <v>95</v>
      </c>
      <c r="H97" s="19">
        <v>52</v>
      </c>
      <c r="J97" s="5">
        <v>106</v>
      </c>
      <c r="L97" s="27" t="s">
        <v>1871</v>
      </c>
      <c r="N97" s="3">
        <v>472</v>
      </c>
      <c r="P97" s="27">
        <v>149.80000000000001</v>
      </c>
      <c r="Q97">
        <v>-1</v>
      </c>
      <c r="R97" s="4">
        <v>-11.2</v>
      </c>
      <c r="S97" s="19" t="s">
        <v>1872</v>
      </c>
      <c r="U97" s="37">
        <v>107</v>
      </c>
      <c r="V97" s="27" t="s">
        <v>448</v>
      </c>
      <c r="W97" s="27"/>
      <c r="X97" s="27" t="s">
        <v>449</v>
      </c>
      <c r="Y97" s="27"/>
      <c r="Z97" s="27" t="s">
        <v>450</v>
      </c>
      <c r="AA97" s="27" t="s">
        <v>451</v>
      </c>
      <c r="AB97" s="27" t="s">
        <v>452</v>
      </c>
      <c r="AC97" s="27" t="s">
        <v>432</v>
      </c>
      <c r="AD97" s="27"/>
      <c r="AE97" s="27" t="s">
        <v>453</v>
      </c>
      <c r="AF97" s="27"/>
      <c r="AG97" s="27" t="s">
        <v>454</v>
      </c>
      <c r="AH97" s="27" t="s">
        <v>455</v>
      </c>
      <c r="AI97" s="27"/>
      <c r="AJ97" s="27" t="s">
        <v>456</v>
      </c>
      <c r="AK97" s="27" t="s">
        <v>12</v>
      </c>
      <c r="AL97" s="27" t="s">
        <v>457</v>
      </c>
      <c r="AM97" s="27" t="s">
        <v>458</v>
      </c>
      <c r="AN97" s="27" t="s">
        <v>459</v>
      </c>
      <c r="AO97" s="27"/>
      <c r="AP97" s="27">
        <v>107</v>
      </c>
    </row>
    <row r="98" spans="2:42" ht="13.5" thickBot="1">
      <c r="B98" s="3">
        <v>473.00000000000006</v>
      </c>
      <c r="C98" s="3">
        <v>60.5</v>
      </c>
      <c r="D98" s="122">
        <v>-149.5</v>
      </c>
      <c r="E98" s="4">
        <v>-8.56</v>
      </c>
      <c r="F98" s="5">
        <v>96</v>
      </c>
      <c r="G98">
        <v>-8.4</v>
      </c>
      <c r="H98" s="19"/>
      <c r="I98">
        <v>139</v>
      </c>
      <c r="J98" s="5">
        <v>105</v>
      </c>
      <c r="L98" s="27" t="s">
        <v>1873</v>
      </c>
      <c r="N98" s="3">
        <v>473</v>
      </c>
      <c r="P98" s="27">
        <v>149.5</v>
      </c>
      <c r="Q98">
        <v>-1</v>
      </c>
      <c r="R98" s="4">
        <v>-11.15</v>
      </c>
      <c r="S98" s="19"/>
      <c r="U98" s="37">
        <v>106</v>
      </c>
      <c r="V98" s="27" t="s">
        <v>460</v>
      </c>
      <c r="W98" s="27"/>
      <c r="X98" s="27" t="s">
        <v>461</v>
      </c>
      <c r="Y98" s="27"/>
      <c r="Z98" s="27" t="s">
        <v>2176</v>
      </c>
      <c r="AA98" s="27"/>
      <c r="AB98" s="27" t="s">
        <v>462</v>
      </c>
      <c r="AC98" s="27" t="s">
        <v>453</v>
      </c>
      <c r="AD98" s="27"/>
      <c r="AE98" s="27" t="s">
        <v>463</v>
      </c>
      <c r="AF98" s="27" t="s">
        <v>464</v>
      </c>
      <c r="AG98" s="27" t="s">
        <v>465</v>
      </c>
      <c r="AH98" s="27" t="s">
        <v>466</v>
      </c>
      <c r="AI98" s="27" t="s">
        <v>467</v>
      </c>
      <c r="AJ98" s="27" t="s">
        <v>468</v>
      </c>
      <c r="AK98" s="27" t="s">
        <v>2843</v>
      </c>
      <c r="AL98" s="27" t="s">
        <v>261</v>
      </c>
      <c r="AM98" s="27" t="s">
        <v>469</v>
      </c>
      <c r="AN98" s="27" t="s">
        <v>470</v>
      </c>
      <c r="AO98" s="27">
        <v>52</v>
      </c>
      <c r="AP98" s="27">
        <v>106</v>
      </c>
    </row>
    <row r="99" spans="2:42" ht="13.5" thickBot="1">
      <c r="B99" s="3">
        <v>474</v>
      </c>
      <c r="C99" s="3">
        <v>61</v>
      </c>
      <c r="D99" s="122">
        <v>-149.19999999999999</v>
      </c>
      <c r="E99" s="4">
        <v>-8.5399999999999991</v>
      </c>
      <c r="F99" s="5">
        <v>97</v>
      </c>
      <c r="H99" s="19">
        <v>51.5</v>
      </c>
      <c r="J99" s="5">
        <v>104</v>
      </c>
      <c r="L99" s="27" t="s">
        <v>1874</v>
      </c>
      <c r="N99" s="3">
        <v>474</v>
      </c>
      <c r="P99" s="27">
        <v>149.19999999999999</v>
      </c>
      <c r="Q99">
        <v>-1</v>
      </c>
      <c r="R99" s="4">
        <v>-11.1</v>
      </c>
      <c r="S99" s="19" t="s">
        <v>1875</v>
      </c>
      <c r="U99" s="37">
        <v>105</v>
      </c>
      <c r="V99" s="27" t="s">
        <v>290</v>
      </c>
      <c r="W99" s="27" t="s">
        <v>471</v>
      </c>
      <c r="X99" s="27" t="s">
        <v>2093</v>
      </c>
      <c r="Y99" s="27"/>
      <c r="Z99" s="27" t="s">
        <v>472</v>
      </c>
      <c r="AA99" s="27" t="s">
        <v>473</v>
      </c>
      <c r="AB99" s="27" t="s">
        <v>474</v>
      </c>
      <c r="AC99" s="27" t="s">
        <v>463</v>
      </c>
      <c r="AD99" s="27" t="s">
        <v>464</v>
      </c>
      <c r="AE99" s="27" t="s">
        <v>475</v>
      </c>
      <c r="AF99" s="27"/>
      <c r="AG99" s="27" t="s">
        <v>476</v>
      </c>
      <c r="AH99" s="27"/>
      <c r="AI99" s="27"/>
      <c r="AJ99" s="27" t="s">
        <v>477</v>
      </c>
      <c r="AK99" s="27" t="s">
        <v>2816</v>
      </c>
      <c r="AL99" s="27" t="s">
        <v>277</v>
      </c>
      <c r="AM99" s="27" t="s">
        <v>478</v>
      </c>
      <c r="AN99" s="27" t="s">
        <v>479</v>
      </c>
      <c r="AO99" s="27"/>
      <c r="AP99" s="27">
        <v>105</v>
      </c>
    </row>
    <row r="100" spans="2:42" ht="13.5" thickBot="1">
      <c r="B100" s="3">
        <v>475</v>
      </c>
      <c r="C100" s="3">
        <v>61.5</v>
      </c>
      <c r="D100" s="122">
        <v>-148.9</v>
      </c>
      <c r="E100" s="4">
        <v>-8.52</v>
      </c>
      <c r="F100" s="5">
        <v>98</v>
      </c>
      <c r="H100" s="19">
        <v>51</v>
      </c>
      <c r="J100" s="5">
        <v>103</v>
      </c>
      <c r="L100" s="27" t="s">
        <v>1876</v>
      </c>
      <c r="N100" s="3">
        <v>475</v>
      </c>
      <c r="P100" s="27">
        <v>148.9</v>
      </c>
      <c r="Q100">
        <v>-1</v>
      </c>
      <c r="R100" s="4">
        <v>-11.05</v>
      </c>
      <c r="S100" s="19" t="s">
        <v>1877</v>
      </c>
      <c r="U100" s="37">
        <v>104</v>
      </c>
      <c r="V100" s="27" t="s">
        <v>480</v>
      </c>
      <c r="W100" s="27"/>
      <c r="X100" s="27" t="s">
        <v>481</v>
      </c>
      <c r="Y100" s="27" t="s">
        <v>482</v>
      </c>
      <c r="Z100" s="27" t="s">
        <v>483</v>
      </c>
      <c r="AA100" s="27" t="s">
        <v>484</v>
      </c>
      <c r="AB100" s="27" t="s">
        <v>485</v>
      </c>
      <c r="AC100" s="27" t="s">
        <v>486</v>
      </c>
      <c r="AD100" s="27"/>
      <c r="AE100" s="27" t="s">
        <v>486</v>
      </c>
      <c r="AF100" s="27"/>
      <c r="AG100" s="27" t="s">
        <v>487</v>
      </c>
      <c r="AH100" s="27" t="s">
        <v>488</v>
      </c>
      <c r="AI100" s="27"/>
      <c r="AJ100" s="27" t="s">
        <v>489</v>
      </c>
      <c r="AK100" s="27" t="s">
        <v>2788</v>
      </c>
      <c r="AL100" s="27" t="s">
        <v>490</v>
      </c>
      <c r="AM100" s="27" t="s">
        <v>491</v>
      </c>
      <c r="AN100" s="27" t="s">
        <v>78</v>
      </c>
      <c r="AO100" s="27">
        <v>51.5</v>
      </c>
      <c r="AP100" s="27">
        <v>104</v>
      </c>
    </row>
    <row r="101" spans="2:42" ht="13.5" thickBot="1">
      <c r="B101" s="3">
        <v>476</v>
      </c>
      <c r="C101" s="3">
        <v>62</v>
      </c>
      <c r="D101" s="122">
        <v>-148.6</v>
      </c>
      <c r="E101" s="4">
        <v>-8.5</v>
      </c>
      <c r="F101" s="5">
        <v>99</v>
      </c>
      <c r="H101" s="19"/>
      <c r="I101">
        <v>138</v>
      </c>
      <c r="J101" s="5">
        <v>102</v>
      </c>
      <c r="L101" s="27" t="s">
        <v>1878</v>
      </c>
      <c r="N101" s="3">
        <v>476</v>
      </c>
      <c r="P101" s="27">
        <v>148.6</v>
      </c>
      <c r="Q101">
        <v>-1</v>
      </c>
      <c r="R101" s="4">
        <v>-11</v>
      </c>
      <c r="S101" s="19"/>
      <c r="U101" s="37">
        <v>103</v>
      </c>
      <c r="V101" s="27" t="s">
        <v>492</v>
      </c>
      <c r="W101" s="27"/>
      <c r="X101" s="27" t="s">
        <v>493</v>
      </c>
      <c r="Y101" s="27"/>
      <c r="Z101" s="27" t="s">
        <v>494</v>
      </c>
      <c r="AA101" s="27" t="s">
        <v>495</v>
      </c>
      <c r="AB101" s="27" t="s">
        <v>496</v>
      </c>
      <c r="AC101" s="27" t="s">
        <v>497</v>
      </c>
      <c r="AD101" s="27"/>
      <c r="AE101" s="27" t="s">
        <v>497</v>
      </c>
      <c r="AF101" s="27"/>
      <c r="AG101" s="27" t="s">
        <v>498</v>
      </c>
      <c r="AH101" s="27" t="s">
        <v>499</v>
      </c>
      <c r="AI101" s="27" t="s">
        <v>500</v>
      </c>
      <c r="AJ101" s="27" t="s">
        <v>501</v>
      </c>
      <c r="AK101" s="27" t="s">
        <v>502</v>
      </c>
      <c r="AL101" s="27" t="s">
        <v>448</v>
      </c>
      <c r="AM101" s="27" t="s">
        <v>503</v>
      </c>
      <c r="AN101" s="27" t="s">
        <v>504</v>
      </c>
      <c r="AO101" s="27">
        <v>51</v>
      </c>
      <c r="AP101" s="27">
        <v>103</v>
      </c>
    </row>
    <row r="102" spans="2:42" ht="13.5" thickBot="1">
      <c r="B102" s="3">
        <v>476.99999999999994</v>
      </c>
      <c r="C102" s="3">
        <v>62.5</v>
      </c>
      <c r="D102" s="122">
        <v>-148.4</v>
      </c>
      <c r="E102" s="4">
        <v>-8.49</v>
      </c>
      <c r="F102" s="5">
        <v>100</v>
      </c>
      <c r="H102" s="19">
        <v>50.5</v>
      </c>
      <c r="J102" s="5">
        <v>101</v>
      </c>
      <c r="L102" s="27" t="s">
        <v>1879</v>
      </c>
      <c r="N102" s="3">
        <v>477</v>
      </c>
      <c r="P102" s="27">
        <v>148.4</v>
      </c>
      <c r="Q102">
        <v>-1</v>
      </c>
      <c r="R102" s="4">
        <v>-10.95</v>
      </c>
      <c r="S102" s="19" t="s">
        <v>1880</v>
      </c>
      <c r="U102" s="37">
        <v>102</v>
      </c>
      <c r="V102" s="27" t="s">
        <v>505</v>
      </c>
      <c r="W102" s="27"/>
      <c r="X102" s="27" t="s">
        <v>506</v>
      </c>
      <c r="Y102" s="27"/>
      <c r="Z102" s="27" t="s">
        <v>507</v>
      </c>
      <c r="AA102" s="27" t="s">
        <v>508</v>
      </c>
      <c r="AB102" s="27" t="s">
        <v>509</v>
      </c>
      <c r="AC102" s="27" t="s">
        <v>510</v>
      </c>
      <c r="AD102" s="27"/>
      <c r="AE102" s="27" t="s">
        <v>510</v>
      </c>
      <c r="AF102" s="27"/>
      <c r="AG102" s="27" t="s">
        <v>511</v>
      </c>
      <c r="AH102" s="27" t="s">
        <v>390</v>
      </c>
      <c r="AI102" s="27"/>
      <c r="AJ102" s="27" t="s">
        <v>512</v>
      </c>
      <c r="AK102" s="27" t="s">
        <v>2730</v>
      </c>
      <c r="AL102" s="27" t="s">
        <v>513</v>
      </c>
      <c r="AM102" s="27" t="s">
        <v>514</v>
      </c>
      <c r="AN102" s="27" t="s">
        <v>515</v>
      </c>
      <c r="AO102" s="27"/>
      <c r="AP102" s="27">
        <v>102</v>
      </c>
    </row>
    <row r="103" spans="2:42" ht="13.5" thickBot="1">
      <c r="B103" s="3">
        <v>478</v>
      </c>
      <c r="C103" s="3">
        <v>63</v>
      </c>
      <c r="D103" s="122">
        <v>-148.19999999999999</v>
      </c>
      <c r="E103" s="4">
        <v>-8.48</v>
      </c>
      <c r="F103" s="5">
        <v>101</v>
      </c>
      <c r="H103" s="19">
        <v>50</v>
      </c>
      <c r="J103" s="5">
        <v>100</v>
      </c>
      <c r="L103" s="27" t="s">
        <v>1881</v>
      </c>
      <c r="N103" s="3">
        <v>478</v>
      </c>
      <c r="P103" s="27">
        <v>148.19999999999999</v>
      </c>
      <c r="Q103">
        <v>-1</v>
      </c>
      <c r="R103" s="4">
        <v>-10.9</v>
      </c>
      <c r="S103" s="19" t="s">
        <v>1882</v>
      </c>
      <c r="U103" s="37">
        <v>101</v>
      </c>
      <c r="V103" s="27" t="s">
        <v>516</v>
      </c>
      <c r="W103" s="27"/>
      <c r="X103" s="27" t="s">
        <v>517</v>
      </c>
      <c r="Y103" s="27"/>
      <c r="Z103" s="27" t="s">
        <v>518</v>
      </c>
      <c r="AA103" s="27" t="s">
        <v>2090</v>
      </c>
      <c r="AB103" s="27" t="s">
        <v>519</v>
      </c>
      <c r="AC103" s="27" t="s">
        <v>520</v>
      </c>
      <c r="AD103" s="27"/>
      <c r="AE103" s="27" t="s">
        <v>520</v>
      </c>
      <c r="AF103" s="27"/>
      <c r="AG103" s="27" t="s">
        <v>521</v>
      </c>
      <c r="AH103" s="27" t="s">
        <v>522</v>
      </c>
      <c r="AI103" s="27"/>
      <c r="AJ103" s="27" t="s">
        <v>523</v>
      </c>
      <c r="AK103" s="27" t="s">
        <v>2699</v>
      </c>
      <c r="AL103" s="27" t="s">
        <v>329</v>
      </c>
      <c r="AM103" s="27" t="s">
        <v>524</v>
      </c>
      <c r="AN103" s="27" t="s">
        <v>525</v>
      </c>
      <c r="AO103" s="27">
        <v>50.5</v>
      </c>
      <c r="AP103" s="27">
        <v>101</v>
      </c>
    </row>
    <row r="104" spans="2:42" ht="13.5" thickBot="1">
      <c r="B104" s="3">
        <v>479</v>
      </c>
      <c r="C104" s="3">
        <v>63.5</v>
      </c>
      <c r="D104" s="122">
        <v>-148.08000000000001</v>
      </c>
      <c r="E104" s="4">
        <v>-8.4700000000000006</v>
      </c>
      <c r="F104" s="5">
        <v>102</v>
      </c>
      <c r="G104">
        <v>-8.5</v>
      </c>
      <c r="H104" s="19"/>
      <c r="I104">
        <v>137</v>
      </c>
      <c r="J104" s="5">
        <v>99</v>
      </c>
      <c r="L104" s="27" t="s">
        <v>1883</v>
      </c>
      <c r="N104" s="3">
        <v>479</v>
      </c>
      <c r="P104" s="27">
        <v>148.08000000000001</v>
      </c>
      <c r="Q104">
        <v>-1</v>
      </c>
      <c r="R104" s="4">
        <v>-10.85</v>
      </c>
      <c r="S104" s="19"/>
      <c r="U104" s="37">
        <v>100</v>
      </c>
      <c r="V104" s="27" t="s">
        <v>526</v>
      </c>
      <c r="W104" s="27"/>
      <c r="X104" s="27" t="s">
        <v>527</v>
      </c>
      <c r="Y104" s="27" t="s">
        <v>528</v>
      </c>
      <c r="Z104" s="27" t="s">
        <v>529</v>
      </c>
      <c r="AA104" s="27" t="s">
        <v>2118</v>
      </c>
      <c r="AB104" s="27" t="s">
        <v>530</v>
      </c>
      <c r="AC104" s="27" t="s">
        <v>531</v>
      </c>
      <c r="AD104" s="27" t="s">
        <v>532</v>
      </c>
      <c r="AE104" s="27" t="s">
        <v>531</v>
      </c>
      <c r="AF104" s="27" t="s">
        <v>532</v>
      </c>
      <c r="AG104" s="27" t="s">
        <v>533</v>
      </c>
      <c r="AH104" s="27" t="s">
        <v>534</v>
      </c>
      <c r="AI104" s="27" t="s">
        <v>535</v>
      </c>
      <c r="AJ104" s="27" t="s">
        <v>536</v>
      </c>
      <c r="AK104" s="27" t="s">
        <v>537</v>
      </c>
      <c r="AL104" s="27" t="s">
        <v>341</v>
      </c>
      <c r="AM104" s="27" t="s">
        <v>538</v>
      </c>
      <c r="AN104" s="27" t="s">
        <v>539</v>
      </c>
      <c r="AO104" s="27">
        <v>50</v>
      </c>
      <c r="AP104" s="27">
        <v>100</v>
      </c>
    </row>
    <row r="105" spans="2:42" ht="13.5" thickBot="1">
      <c r="B105" s="3">
        <v>480</v>
      </c>
      <c r="C105" s="3">
        <v>64</v>
      </c>
      <c r="D105" s="122">
        <v>-147.99</v>
      </c>
      <c r="E105" s="4">
        <v>-8.4499999999999993</v>
      </c>
      <c r="F105" s="5">
        <v>103</v>
      </c>
      <c r="H105" s="19">
        <v>49.5</v>
      </c>
      <c r="J105" s="5">
        <v>98</v>
      </c>
      <c r="L105" s="27" t="s">
        <v>1884</v>
      </c>
      <c r="N105" s="3">
        <v>480</v>
      </c>
      <c r="P105" s="27">
        <v>147.99</v>
      </c>
      <c r="Q105">
        <v>-1</v>
      </c>
      <c r="R105" s="4">
        <v>-10.8</v>
      </c>
      <c r="S105" s="19" t="s">
        <v>1885</v>
      </c>
      <c r="U105" s="37">
        <v>99</v>
      </c>
      <c r="V105" s="27" t="s">
        <v>540</v>
      </c>
      <c r="W105" s="27" t="s">
        <v>541</v>
      </c>
      <c r="X105" s="27" t="s">
        <v>542</v>
      </c>
      <c r="Y105" s="27"/>
      <c r="Z105" s="27" t="s">
        <v>543</v>
      </c>
      <c r="AA105" s="27" t="s">
        <v>2146</v>
      </c>
      <c r="AB105" s="27" t="s">
        <v>544</v>
      </c>
      <c r="AC105" s="27" t="s">
        <v>545</v>
      </c>
      <c r="AD105" s="27"/>
      <c r="AE105" s="27" t="s">
        <v>546</v>
      </c>
      <c r="AF105" s="27"/>
      <c r="AG105" s="27" t="s">
        <v>547</v>
      </c>
      <c r="AH105" s="27" t="s">
        <v>548</v>
      </c>
      <c r="AI105" s="27"/>
      <c r="AJ105" s="27" t="s">
        <v>549</v>
      </c>
      <c r="AK105" s="27" t="s">
        <v>2620</v>
      </c>
      <c r="AL105" s="27" t="s">
        <v>321</v>
      </c>
      <c r="AM105" s="27" t="s">
        <v>550</v>
      </c>
      <c r="AN105" s="27" t="s">
        <v>129</v>
      </c>
      <c r="AO105" s="27"/>
      <c r="AP105" s="27">
        <v>99</v>
      </c>
    </row>
    <row r="106" spans="2:42" ht="13.5" thickBot="1">
      <c r="B106" s="3">
        <v>480.99999999999994</v>
      </c>
      <c r="C106" s="3">
        <v>64.5</v>
      </c>
      <c r="D106" s="122">
        <v>-147.9</v>
      </c>
      <c r="E106" s="4">
        <v>-8.43</v>
      </c>
      <c r="F106" s="5">
        <v>104</v>
      </c>
      <c r="H106" s="19">
        <v>49</v>
      </c>
      <c r="J106" s="5">
        <v>97</v>
      </c>
      <c r="L106" s="27" t="s">
        <v>1886</v>
      </c>
      <c r="N106" s="3">
        <v>481</v>
      </c>
      <c r="P106" s="27">
        <v>147.9</v>
      </c>
      <c r="Q106">
        <v>-1</v>
      </c>
      <c r="R106" s="4">
        <v>-10.75</v>
      </c>
      <c r="S106" s="19" t="s">
        <v>1887</v>
      </c>
      <c r="U106" s="37">
        <v>98</v>
      </c>
      <c r="V106" s="27" t="s">
        <v>457</v>
      </c>
      <c r="W106" s="27"/>
      <c r="X106" s="27" t="s">
        <v>551</v>
      </c>
      <c r="Y106" s="27"/>
      <c r="Z106" s="27" t="s">
        <v>2170</v>
      </c>
      <c r="AA106" s="27" t="s">
        <v>2171</v>
      </c>
      <c r="AB106" s="27" t="s">
        <v>552</v>
      </c>
      <c r="AC106" s="27" t="s">
        <v>553</v>
      </c>
      <c r="AD106" s="27"/>
      <c r="AE106" s="27" t="s">
        <v>554</v>
      </c>
      <c r="AF106" s="27"/>
      <c r="AG106" s="27" t="s">
        <v>555</v>
      </c>
      <c r="AH106" s="27" t="s">
        <v>367</v>
      </c>
      <c r="AI106" s="27"/>
      <c r="AJ106" s="27" t="s">
        <v>556</v>
      </c>
      <c r="AK106" s="27" t="s">
        <v>2590</v>
      </c>
      <c r="AL106" s="27" t="s">
        <v>281</v>
      </c>
      <c r="AM106" s="27" t="s">
        <v>557</v>
      </c>
      <c r="AN106" s="27" t="s">
        <v>558</v>
      </c>
      <c r="AO106" s="27">
        <v>49.5</v>
      </c>
      <c r="AP106" s="27">
        <v>98</v>
      </c>
    </row>
    <row r="107" spans="2:42" ht="13.5" thickBot="1">
      <c r="B107" s="3">
        <v>482</v>
      </c>
      <c r="C107" s="3">
        <v>65</v>
      </c>
      <c r="D107" s="122">
        <v>-147.80000000000001</v>
      </c>
      <c r="E107" s="4">
        <v>-8.42</v>
      </c>
      <c r="F107" s="5">
        <v>105</v>
      </c>
      <c r="H107" s="19"/>
      <c r="I107">
        <v>136</v>
      </c>
      <c r="J107" s="5">
        <v>96</v>
      </c>
      <c r="L107" s="27" t="s">
        <v>1888</v>
      </c>
      <c r="N107" s="3">
        <v>482</v>
      </c>
      <c r="P107" s="27">
        <v>147.80000000000001</v>
      </c>
      <c r="Q107">
        <v>-1</v>
      </c>
      <c r="R107" s="4">
        <v>-10.7</v>
      </c>
      <c r="S107" s="19"/>
      <c r="U107" s="37">
        <v>97</v>
      </c>
      <c r="V107" s="27" t="s">
        <v>559</v>
      </c>
      <c r="W107" s="27"/>
      <c r="X107" s="27" t="s">
        <v>560</v>
      </c>
      <c r="Y107" s="27" t="s">
        <v>2088</v>
      </c>
      <c r="Z107" s="27" t="s">
        <v>561</v>
      </c>
      <c r="AA107" s="27" t="s">
        <v>2197</v>
      </c>
      <c r="AB107" s="27" t="s">
        <v>562</v>
      </c>
      <c r="AC107" s="27" t="s">
        <v>563</v>
      </c>
      <c r="AD107" s="27"/>
      <c r="AE107" s="27" t="s">
        <v>564</v>
      </c>
      <c r="AF107" s="27" t="s">
        <v>565</v>
      </c>
      <c r="AG107" s="27" t="s">
        <v>566</v>
      </c>
      <c r="AH107" s="27" t="s">
        <v>567</v>
      </c>
      <c r="AI107" s="27" t="s">
        <v>568</v>
      </c>
      <c r="AJ107" s="27" t="s">
        <v>569</v>
      </c>
      <c r="AK107" s="27" t="s">
        <v>2561</v>
      </c>
      <c r="AL107" s="27" t="s">
        <v>239</v>
      </c>
      <c r="AM107" s="27" t="s">
        <v>570</v>
      </c>
      <c r="AN107" s="27" t="s">
        <v>571</v>
      </c>
      <c r="AO107" s="27">
        <v>49</v>
      </c>
      <c r="AP107" s="27">
        <v>97</v>
      </c>
    </row>
    <row r="108" spans="2:42" ht="13.5" thickBot="1">
      <c r="B108" s="3">
        <v>483</v>
      </c>
      <c r="C108" s="3">
        <v>65.5</v>
      </c>
      <c r="D108" s="122">
        <v>-147.69999999999999</v>
      </c>
      <c r="E108" s="4">
        <v>-8.41</v>
      </c>
      <c r="F108" s="5">
        <v>106</v>
      </c>
      <c r="H108" s="19">
        <v>48.5</v>
      </c>
      <c r="J108" s="5">
        <v>95</v>
      </c>
      <c r="L108" s="27" t="s">
        <v>1889</v>
      </c>
      <c r="N108" s="3">
        <v>483</v>
      </c>
      <c r="P108" s="27">
        <v>147.69999999999999</v>
      </c>
      <c r="Q108">
        <v>-1</v>
      </c>
      <c r="R108" s="4">
        <v>-10.65</v>
      </c>
      <c r="S108" s="19" t="s">
        <v>1890</v>
      </c>
      <c r="U108" s="37">
        <v>96</v>
      </c>
      <c r="V108" s="27" t="s">
        <v>445</v>
      </c>
      <c r="W108" s="27"/>
      <c r="X108" s="27" t="s">
        <v>572</v>
      </c>
      <c r="Y108" s="27"/>
      <c r="Z108" s="27" t="s">
        <v>573</v>
      </c>
      <c r="AA108" s="27" t="s">
        <v>2222</v>
      </c>
      <c r="AB108" s="27" t="s">
        <v>574</v>
      </c>
      <c r="AC108" s="27" t="s">
        <v>564</v>
      </c>
      <c r="AD108" s="27" t="s">
        <v>565</v>
      </c>
      <c r="AE108" s="27" t="s">
        <v>575</v>
      </c>
      <c r="AF108" s="27"/>
      <c r="AG108" s="27" t="s">
        <v>576</v>
      </c>
      <c r="AH108" s="27" t="s">
        <v>577</v>
      </c>
      <c r="AI108" s="27"/>
      <c r="AJ108" s="27" t="s">
        <v>578</v>
      </c>
      <c r="AK108" s="27" t="s">
        <v>579</v>
      </c>
      <c r="AL108" s="27" t="s">
        <v>198</v>
      </c>
      <c r="AM108" s="27" t="s">
        <v>580</v>
      </c>
      <c r="AN108" s="27" t="s">
        <v>157</v>
      </c>
      <c r="AO108" s="27"/>
      <c r="AP108" s="27">
        <v>96</v>
      </c>
    </row>
    <row r="109" spans="2:42" ht="13.5" thickBot="1">
      <c r="B109" s="3">
        <v>484</v>
      </c>
      <c r="C109" s="3">
        <v>66</v>
      </c>
      <c r="D109" s="122">
        <v>-147.6</v>
      </c>
      <c r="E109" s="4">
        <v>-8.4</v>
      </c>
      <c r="F109" s="5">
        <v>107</v>
      </c>
      <c r="G109">
        <v>-8.6</v>
      </c>
      <c r="H109" s="19">
        <v>48</v>
      </c>
      <c r="J109" s="5">
        <v>94</v>
      </c>
      <c r="L109" s="27" t="s">
        <v>1891</v>
      </c>
      <c r="N109" s="3">
        <v>484</v>
      </c>
      <c r="P109" s="27">
        <v>147.6</v>
      </c>
      <c r="Q109">
        <v>-1</v>
      </c>
      <c r="R109" s="4">
        <v>-10.6</v>
      </c>
      <c r="S109" s="19" t="s">
        <v>1892</v>
      </c>
      <c r="U109" s="37">
        <v>95</v>
      </c>
      <c r="V109" s="27" t="s">
        <v>581</v>
      </c>
      <c r="W109" s="27"/>
      <c r="X109" s="27" t="s">
        <v>2102</v>
      </c>
      <c r="Y109" s="27"/>
      <c r="Z109" s="27" t="s">
        <v>582</v>
      </c>
      <c r="AA109" s="27" t="s">
        <v>2249</v>
      </c>
      <c r="AB109" s="27" t="s">
        <v>583</v>
      </c>
      <c r="AC109" s="27" t="s">
        <v>584</v>
      </c>
      <c r="AD109" s="27"/>
      <c r="AE109" s="27" t="s">
        <v>585</v>
      </c>
      <c r="AF109" s="27" t="s">
        <v>586</v>
      </c>
      <c r="AG109" s="27" t="s">
        <v>587</v>
      </c>
      <c r="AH109" s="27" t="s">
        <v>588</v>
      </c>
      <c r="AI109" s="27"/>
      <c r="AJ109" s="27" t="s">
        <v>589</v>
      </c>
      <c r="AK109" s="27" t="s">
        <v>590</v>
      </c>
      <c r="AL109" s="27" t="s">
        <v>398</v>
      </c>
      <c r="AM109" s="27" t="s">
        <v>591</v>
      </c>
      <c r="AN109" s="27" t="s">
        <v>592</v>
      </c>
      <c r="AO109" s="27">
        <v>48.5</v>
      </c>
      <c r="AP109" s="27">
        <v>95</v>
      </c>
    </row>
    <row r="110" spans="2:42" ht="13.5" thickBot="1">
      <c r="B110" s="3">
        <v>0</v>
      </c>
      <c r="C110" s="3">
        <v>66.5</v>
      </c>
      <c r="D110" s="122">
        <v>-147.5</v>
      </c>
      <c r="E110" s="4">
        <v>-8.39</v>
      </c>
      <c r="F110" s="5">
        <v>108</v>
      </c>
      <c r="H110" s="19">
        <v>47.5</v>
      </c>
      <c r="I110">
        <v>135</v>
      </c>
      <c r="J110" s="5">
        <v>93</v>
      </c>
      <c r="L110" s="27" t="s">
        <v>1893</v>
      </c>
      <c r="N110" s="3"/>
      <c r="P110" s="27">
        <v>147.5</v>
      </c>
      <c r="Q110">
        <v>-1</v>
      </c>
      <c r="R110" s="4">
        <v>-10.55</v>
      </c>
      <c r="S110" s="19" t="s">
        <v>1894</v>
      </c>
      <c r="U110" s="37">
        <v>94</v>
      </c>
      <c r="V110" s="27" t="s">
        <v>436</v>
      </c>
      <c r="W110" s="27" t="s">
        <v>593</v>
      </c>
      <c r="X110" s="27" t="s">
        <v>2115</v>
      </c>
      <c r="Y110" s="27" t="s">
        <v>2116</v>
      </c>
      <c r="Z110" s="27" t="s">
        <v>594</v>
      </c>
      <c r="AA110" s="27" t="s">
        <v>2285</v>
      </c>
      <c r="AB110" s="27" t="s">
        <v>595</v>
      </c>
      <c r="AC110" s="27" t="s">
        <v>596</v>
      </c>
      <c r="AD110" s="27"/>
      <c r="AE110" s="27" t="s">
        <v>597</v>
      </c>
      <c r="AF110" s="27"/>
      <c r="AG110" s="27" t="s">
        <v>598</v>
      </c>
      <c r="AH110" s="27" t="s">
        <v>345</v>
      </c>
      <c r="AI110" s="27" t="s">
        <v>599</v>
      </c>
      <c r="AJ110" s="27" t="s">
        <v>600</v>
      </c>
      <c r="AK110" s="27" t="s">
        <v>601</v>
      </c>
      <c r="AL110" s="27" t="s">
        <v>131</v>
      </c>
      <c r="AM110" s="27" t="s">
        <v>602</v>
      </c>
      <c r="AN110" s="27" t="s">
        <v>603</v>
      </c>
      <c r="AO110" s="27">
        <v>48</v>
      </c>
      <c r="AP110" s="27">
        <v>94</v>
      </c>
    </row>
    <row r="111" spans="2:42" ht="13.5" thickBot="1">
      <c r="B111" s="3">
        <v>484.99999999999994</v>
      </c>
      <c r="C111" s="3">
        <v>67</v>
      </c>
      <c r="D111" s="122">
        <v>-147.4</v>
      </c>
      <c r="E111" s="4">
        <v>-8.3800000000000008</v>
      </c>
      <c r="F111" s="5">
        <v>109</v>
      </c>
      <c r="H111" s="19"/>
      <c r="J111" s="5">
        <v>92</v>
      </c>
      <c r="L111" s="27" t="s">
        <v>1895</v>
      </c>
      <c r="N111" s="3">
        <v>485</v>
      </c>
      <c r="P111" s="27">
        <v>147.4</v>
      </c>
      <c r="Q111">
        <v>-1</v>
      </c>
      <c r="R111" s="4">
        <v>-10.5</v>
      </c>
      <c r="S111" s="19"/>
      <c r="U111" s="37">
        <v>93</v>
      </c>
      <c r="V111" s="27" t="s">
        <v>223</v>
      </c>
      <c r="W111" s="27"/>
      <c r="X111" s="27" t="s">
        <v>604</v>
      </c>
      <c r="Y111" s="27"/>
      <c r="Z111" s="27" t="s">
        <v>605</v>
      </c>
      <c r="AA111" s="27" t="s">
        <v>2312</v>
      </c>
      <c r="AB111" s="27" t="s">
        <v>606</v>
      </c>
      <c r="AC111" s="27" t="s">
        <v>607</v>
      </c>
      <c r="AD111" s="27" t="s">
        <v>586</v>
      </c>
      <c r="AE111" s="27" t="s">
        <v>608</v>
      </c>
      <c r="AF111" s="27"/>
      <c r="AG111" s="27" t="s">
        <v>609</v>
      </c>
      <c r="AH111" s="27" t="s">
        <v>610</v>
      </c>
      <c r="AI111" s="27"/>
      <c r="AJ111" s="27" t="s">
        <v>611</v>
      </c>
      <c r="AK111" s="27" t="s">
        <v>612</v>
      </c>
      <c r="AL111" s="27" t="s">
        <v>422</v>
      </c>
      <c r="AM111" s="27" t="s">
        <v>613</v>
      </c>
      <c r="AN111" s="27" t="s">
        <v>182</v>
      </c>
      <c r="AO111" s="27">
        <v>47.5</v>
      </c>
      <c r="AP111" s="27">
        <v>93</v>
      </c>
    </row>
    <row r="112" spans="2:42" ht="13.5" thickBot="1">
      <c r="B112" s="3">
        <v>486.00000000000006</v>
      </c>
      <c r="C112" s="3">
        <v>67.5</v>
      </c>
      <c r="D112" s="122">
        <v>-147.30000000000001</v>
      </c>
      <c r="E112" s="4">
        <v>-8.3699999999999992</v>
      </c>
      <c r="F112" s="5">
        <v>110</v>
      </c>
      <c r="H112" s="19">
        <v>47</v>
      </c>
      <c r="J112" s="5">
        <v>91</v>
      </c>
      <c r="L112" s="27" t="s">
        <v>1896</v>
      </c>
      <c r="N112" s="3">
        <v>486</v>
      </c>
      <c r="P112" s="27">
        <v>147.30000000000001</v>
      </c>
      <c r="Q112">
        <v>-1</v>
      </c>
      <c r="R112" s="4">
        <v>-10.45</v>
      </c>
      <c r="S112" s="19" t="s">
        <v>1897</v>
      </c>
      <c r="U112" s="37">
        <v>92</v>
      </c>
      <c r="V112" s="27" t="s">
        <v>614</v>
      </c>
      <c r="W112" s="27"/>
      <c r="X112" s="27" t="s">
        <v>615</v>
      </c>
      <c r="Y112" s="27" t="s">
        <v>2144</v>
      </c>
      <c r="Z112" s="27" t="s">
        <v>616</v>
      </c>
      <c r="AA112" s="27" t="s">
        <v>2338</v>
      </c>
      <c r="AB112" s="27" t="s">
        <v>617</v>
      </c>
      <c r="AC112" s="27" t="s">
        <v>618</v>
      </c>
      <c r="AD112" s="27"/>
      <c r="AE112" s="27" t="s">
        <v>619</v>
      </c>
      <c r="AF112" s="27" t="s">
        <v>620</v>
      </c>
      <c r="AG112" s="27" t="s">
        <v>621</v>
      </c>
      <c r="AH112" s="27" t="s">
        <v>622</v>
      </c>
      <c r="AI112" s="27"/>
      <c r="AJ112" s="27" t="s">
        <v>623</v>
      </c>
      <c r="AK112" s="27" t="s">
        <v>624</v>
      </c>
      <c r="AL112" s="27" t="s">
        <v>435</v>
      </c>
      <c r="AM112" s="27" t="s">
        <v>625</v>
      </c>
      <c r="AN112" s="27" t="s">
        <v>626</v>
      </c>
      <c r="AO112" s="27"/>
      <c r="AP112" s="27">
        <v>92</v>
      </c>
    </row>
    <row r="113" spans="2:42" ht="13.5" thickBot="1">
      <c r="B113" s="3">
        <v>487</v>
      </c>
      <c r="C113" s="3">
        <v>68</v>
      </c>
      <c r="D113" s="122">
        <v>-147.19999999999999</v>
      </c>
      <c r="E113" s="4">
        <v>-8.36</v>
      </c>
      <c r="F113" s="5">
        <v>111</v>
      </c>
      <c r="G113">
        <v>-8.6999999999999993</v>
      </c>
      <c r="H113" s="19">
        <v>46.5</v>
      </c>
      <c r="I113">
        <v>134</v>
      </c>
      <c r="J113" s="5">
        <v>90</v>
      </c>
      <c r="L113" s="27" t="s">
        <v>1898</v>
      </c>
      <c r="N113" s="3">
        <v>487</v>
      </c>
      <c r="P113" s="27">
        <v>147.19999999999999</v>
      </c>
      <c r="Q113">
        <v>-1</v>
      </c>
      <c r="R113" s="4">
        <v>-10.4</v>
      </c>
      <c r="S113" s="19" t="s">
        <v>1899</v>
      </c>
      <c r="U113" s="37">
        <v>91</v>
      </c>
      <c r="V113" s="27" t="s">
        <v>627</v>
      </c>
      <c r="W113" s="27"/>
      <c r="X113" s="27" t="s">
        <v>628</v>
      </c>
      <c r="Y113" s="27"/>
      <c r="Z113" s="27" t="s">
        <v>629</v>
      </c>
      <c r="AA113" s="27" t="s">
        <v>2366</v>
      </c>
      <c r="AB113" s="27" t="s">
        <v>630</v>
      </c>
      <c r="AC113" s="27" t="s">
        <v>631</v>
      </c>
      <c r="AD113" s="27" t="s">
        <v>620</v>
      </c>
      <c r="AE113" s="27" t="s">
        <v>632</v>
      </c>
      <c r="AF113" s="27"/>
      <c r="AG113" s="27" t="s">
        <v>633</v>
      </c>
      <c r="AH113" s="27" t="s">
        <v>634</v>
      </c>
      <c r="AI113" s="27" t="s">
        <v>635</v>
      </c>
      <c r="AJ113" s="27" t="s">
        <v>636</v>
      </c>
      <c r="AK113" s="27" t="s">
        <v>2464</v>
      </c>
      <c r="AL113" s="27" t="s">
        <v>39</v>
      </c>
      <c r="AM113" s="27" t="s">
        <v>637</v>
      </c>
      <c r="AN113" s="27" t="s">
        <v>638</v>
      </c>
      <c r="AO113" s="27">
        <v>47</v>
      </c>
      <c r="AP113" s="27">
        <v>91</v>
      </c>
    </row>
    <row r="114" spans="2:42" ht="13.5" thickBot="1">
      <c r="B114" s="3">
        <v>0</v>
      </c>
      <c r="C114" s="3">
        <v>68.5</v>
      </c>
      <c r="D114" s="122">
        <v>-147.1</v>
      </c>
      <c r="E114" s="4">
        <v>-8.35</v>
      </c>
      <c r="F114" s="5">
        <v>112</v>
      </c>
      <c r="H114" s="19">
        <v>46</v>
      </c>
      <c r="J114" s="5">
        <v>89</v>
      </c>
      <c r="L114" s="27" t="s">
        <v>1900</v>
      </c>
      <c r="N114" s="3"/>
      <c r="P114" s="27">
        <v>147.1</v>
      </c>
      <c r="Q114">
        <v>-1</v>
      </c>
      <c r="R114" s="4">
        <v>-10.35</v>
      </c>
      <c r="S114" s="19" t="s">
        <v>1901</v>
      </c>
      <c r="U114" s="37">
        <v>90</v>
      </c>
      <c r="V114" s="27" t="s">
        <v>399</v>
      </c>
      <c r="W114" s="27" t="s">
        <v>639</v>
      </c>
      <c r="X114" s="27" t="s">
        <v>640</v>
      </c>
      <c r="Y114" s="27" t="s">
        <v>2183</v>
      </c>
      <c r="Z114" s="27" t="s">
        <v>2400</v>
      </c>
      <c r="AA114" s="27" t="s">
        <v>2401</v>
      </c>
      <c r="AB114" s="27" t="s">
        <v>641</v>
      </c>
      <c r="AC114" s="27" t="s">
        <v>642</v>
      </c>
      <c r="AD114" s="27"/>
      <c r="AE114" s="27" t="s">
        <v>643</v>
      </c>
      <c r="AF114" s="27" t="s">
        <v>644</v>
      </c>
      <c r="AG114" s="27" t="s">
        <v>645</v>
      </c>
      <c r="AH114" s="27" t="s">
        <v>320</v>
      </c>
      <c r="AI114" s="27"/>
      <c r="AJ114" s="27" t="s">
        <v>646</v>
      </c>
      <c r="AK114" s="27" t="s">
        <v>2451</v>
      </c>
      <c r="AL114" s="27" t="s">
        <v>12</v>
      </c>
      <c r="AM114" s="27" t="s">
        <v>647</v>
      </c>
      <c r="AN114" s="27" t="s">
        <v>648</v>
      </c>
      <c r="AO114" s="27">
        <v>46.5</v>
      </c>
      <c r="AP114" s="27">
        <v>90</v>
      </c>
    </row>
    <row r="115" spans="2:42" ht="13.5" thickBot="1">
      <c r="B115" s="3">
        <v>488</v>
      </c>
      <c r="C115" s="3">
        <v>69</v>
      </c>
      <c r="D115" s="122">
        <v>-147</v>
      </c>
      <c r="E115" s="4">
        <v>-8.34</v>
      </c>
      <c r="F115" s="5">
        <v>113</v>
      </c>
      <c r="H115" s="19"/>
      <c r="J115" s="5">
        <v>88</v>
      </c>
      <c r="L115" s="27" t="s">
        <v>1902</v>
      </c>
      <c r="N115" s="3">
        <v>488</v>
      </c>
      <c r="P115" s="27">
        <v>147</v>
      </c>
      <c r="Q115">
        <v>-1</v>
      </c>
      <c r="R115" s="4">
        <v>-10.3</v>
      </c>
      <c r="S115" s="19"/>
      <c r="U115" s="37">
        <v>89</v>
      </c>
      <c r="V115" s="27" t="s">
        <v>194</v>
      </c>
      <c r="W115" s="27"/>
      <c r="X115" s="27" t="s">
        <v>649</v>
      </c>
      <c r="Y115" s="27"/>
      <c r="Z115" s="27" t="s">
        <v>650</v>
      </c>
      <c r="AA115" s="27" t="s">
        <v>2423</v>
      </c>
      <c r="AB115" s="27" t="s">
        <v>651</v>
      </c>
      <c r="AC115" s="27" t="s">
        <v>652</v>
      </c>
      <c r="AD115" s="27" t="s">
        <v>644</v>
      </c>
      <c r="AE115" s="27" t="s">
        <v>653</v>
      </c>
      <c r="AF115" s="27"/>
      <c r="AG115" s="27" t="s">
        <v>654</v>
      </c>
      <c r="AH115" s="27" t="s">
        <v>655</v>
      </c>
      <c r="AI115" s="27"/>
      <c r="AJ115" s="27" t="s">
        <v>656</v>
      </c>
      <c r="AK115" s="27" t="s">
        <v>657</v>
      </c>
      <c r="AL115" s="27" t="s">
        <v>2843</v>
      </c>
      <c r="AM115" s="27" t="s">
        <v>658</v>
      </c>
      <c r="AN115" s="27" t="s">
        <v>659</v>
      </c>
      <c r="AO115" s="27">
        <v>46</v>
      </c>
      <c r="AP115" s="27">
        <v>89</v>
      </c>
    </row>
    <row r="116" spans="2:42" ht="13.5" thickBot="1">
      <c r="B116" s="3">
        <v>488.99999999999994</v>
      </c>
      <c r="C116" s="3">
        <v>69.5</v>
      </c>
      <c r="D116" s="122">
        <v>-146.9</v>
      </c>
      <c r="E116" s="4">
        <v>-8.33</v>
      </c>
      <c r="F116" s="5">
        <v>114</v>
      </c>
      <c r="H116" s="19">
        <v>45.5</v>
      </c>
      <c r="I116">
        <v>133</v>
      </c>
      <c r="J116" s="5">
        <v>87</v>
      </c>
      <c r="L116" s="27" t="s">
        <v>1903</v>
      </c>
      <c r="N116" s="3">
        <v>489</v>
      </c>
      <c r="P116" s="27">
        <v>146.9</v>
      </c>
      <c r="Q116">
        <v>-1</v>
      </c>
      <c r="R116" s="4">
        <v>-10.25</v>
      </c>
      <c r="S116" s="19" t="s">
        <v>1904</v>
      </c>
      <c r="U116" s="37">
        <v>88</v>
      </c>
      <c r="V116" s="27" t="s">
        <v>377</v>
      </c>
      <c r="W116" s="27"/>
      <c r="X116" s="27" t="s">
        <v>660</v>
      </c>
      <c r="Y116" s="27" t="s">
        <v>2209</v>
      </c>
      <c r="Z116" s="27" t="s">
        <v>661</v>
      </c>
      <c r="AA116" s="27" t="s">
        <v>2446</v>
      </c>
      <c r="AB116" s="27" t="s">
        <v>662</v>
      </c>
      <c r="AC116" s="27" t="s">
        <v>653</v>
      </c>
      <c r="AD116" s="27"/>
      <c r="AE116" s="27" t="s">
        <v>663</v>
      </c>
      <c r="AF116" s="27"/>
      <c r="AG116" s="27" t="s">
        <v>664</v>
      </c>
      <c r="AH116" s="27" t="s">
        <v>665</v>
      </c>
      <c r="AI116" s="27" t="s">
        <v>666</v>
      </c>
      <c r="AJ116" s="27" t="s">
        <v>667</v>
      </c>
      <c r="AK116" s="27" t="s">
        <v>2414</v>
      </c>
      <c r="AL116" s="27" t="s">
        <v>2816</v>
      </c>
      <c r="AM116" s="27" t="s">
        <v>668</v>
      </c>
      <c r="AN116" s="27" t="s">
        <v>669</v>
      </c>
      <c r="AO116" s="27"/>
      <c r="AP116" s="27">
        <v>88</v>
      </c>
    </row>
    <row r="117" spans="2:42" ht="13.5" thickBot="1">
      <c r="B117" s="3">
        <v>490.00000000000006</v>
      </c>
      <c r="C117" s="3">
        <v>70</v>
      </c>
      <c r="D117" s="122">
        <v>-146.80000000000001</v>
      </c>
      <c r="E117" s="4">
        <v>-8.32</v>
      </c>
      <c r="F117" s="5">
        <v>115</v>
      </c>
      <c r="G117">
        <v>-8.8000000000000007</v>
      </c>
      <c r="H117" s="19">
        <v>45</v>
      </c>
      <c r="J117" s="5">
        <v>86</v>
      </c>
      <c r="L117" s="27" t="s">
        <v>1905</v>
      </c>
      <c r="N117" s="3">
        <v>490</v>
      </c>
      <c r="P117" s="27">
        <v>146.80000000000001</v>
      </c>
      <c r="Q117">
        <v>-1</v>
      </c>
      <c r="R117" s="4">
        <v>-10.199999999999999</v>
      </c>
      <c r="S117" s="19" t="s">
        <v>1906</v>
      </c>
      <c r="U117" s="37">
        <v>87</v>
      </c>
      <c r="V117" s="27" t="s">
        <v>670</v>
      </c>
      <c r="W117" s="27"/>
      <c r="X117" s="27" t="s">
        <v>671</v>
      </c>
      <c r="Y117" s="27"/>
      <c r="Z117" s="27" t="s">
        <v>672</v>
      </c>
      <c r="AA117" s="27" t="s">
        <v>2473</v>
      </c>
      <c r="AB117" s="27" t="s">
        <v>673</v>
      </c>
      <c r="AC117" s="27" t="s">
        <v>674</v>
      </c>
      <c r="AD117" s="27" t="s">
        <v>675</v>
      </c>
      <c r="AE117" s="27" t="s">
        <v>676</v>
      </c>
      <c r="AF117" s="27" t="s">
        <v>675</v>
      </c>
      <c r="AG117" s="27" t="s">
        <v>677</v>
      </c>
      <c r="AH117" s="27" t="s">
        <v>293</v>
      </c>
      <c r="AI117" s="27"/>
      <c r="AJ117" s="27" t="s">
        <v>678</v>
      </c>
      <c r="AK117" s="27" t="s">
        <v>2404</v>
      </c>
      <c r="AL117" s="27" t="s">
        <v>2788</v>
      </c>
      <c r="AM117" s="27" t="s">
        <v>679</v>
      </c>
      <c r="AN117" s="27" t="s">
        <v>680</v>
      </c>
      <c r="AO117" s="27">
        <v>45.5</v>
      </c>
      <c r="AP117" s="27">
        <v>87</v>
      </c>
    </row>
    <row r="118" spans="2:42" ht="13.5" thickBot="1">
      <c r="B118" s="3">
        <v>0</v>
      </c>
      <c r="C118" s="3">
        <v>70.5</v>
      </c>
      <c r="D118" s="122">
        <v>-146.69999999999999</v>
      </c>
      <c r="E118" s="4">
        <v>-8.31</v>
      </c>
      <c r="F118" s="5">
        <v>116</v>
      </c>
      <c r="H118" s="19">
        <v>44.5</v>
      </c>
      <c r="J118" s="5">
        <v>85</v>
      </c>
      <c r="L118" s="27" t="s">
        <v>1907</v>
      </c>
      <c r="N118" s="3"/>
      <c r="P118" s="27">
        <v>146.69999999999999</v>
      </c>
      <c r="Q118">
        <v>-1</v>
      </c>
      <c r="R118" s="4">
        <v>-10.15</v>
      </c>
      <c r="S118" s="19" t="s">
        <v>1908</v>
      </c>
      <c r="U118" s="37">
        <v>86</v>
      </c>
      <c r="V118" s="27" t="s">
        <v>681</v>
      </c>
      <c r="W118" s="27" t="s">
        <v>682</v>
      </c>
      <c r="X118" s="27" t="s">
        <v>2232</v>
      </c>
      <c r="Y118" s="27"/>
      <c r="Z118" s="27" t="s">
        <v>683</v>
      </c>
      <c r="AA118" s="27" t="s">
        <v>2500</v>
      </c>
      <c r="AB118" s="27" t="s">
        <v>684</v>
      </c>
      <c r="AC118" s="27" t="s">
        <v>685</v>
      </c>
      <c r="AD118" s="27"/>
      <c r="AE118" s="27" t="s">
        <v>686</v>
      </c>
      <c r="AF118" s="27" t="s">
        <v>687</v>
      </c>
      <c r="AG118" s="27" t="s">
        <v>688</v>
      </c>
      <c r="AH118" s="27" t="s">
        <v>689</v>
      </c>
      <c r="AI118" s="27" t="s">
        <v>690</v>
      </c>
      <c r="AJ118" s="27" t="s">
        <v>691</v>
      </c>
      <c r="AK118" s="27" t="s">
        <v>2384</v>
      </c>
      <c r="AL118" s="27" t="s">
        <v>502</v>
      </c>
      <c r="AM118" s="27" t="s">
        <v>692</v>
      </c>
      <c r="AN118" s="27" t="s">
        <v>693</v>
      </c>
      <c r="AO118" s="27">
        <v>45</v>
      </c>
      <c r="AP118" s="27">
        <v>86</v>
      </c>
    </row>
    <row r="119" spans="2:42" ht="13.5" thickBot="1">
      <c r="B119" s="3">
        <v>491</v>
      </c>
      <c r="C119" s="3">
        <v>71</v>
      </c>
      <c r="D119" s="122">
        <v>-146.6</v>
      </c>
      <c r="E119" s="4">
        <v>-8.3000000000000007</v>
      </c>
      <c r="F119" s="5">
        <v>117</v>
      </c>
      <c r="H119" s="19"/>
      <c r="I119">
        <v>132</v>
      </c>
      <c r="J119" s="5">
        <v>84</v>
      </c>
      <c r="L119" s="27" t="s">
        <v>1909</v>
      </c>
      <c r="N119" s="3">
        <v>491</v>
      </c>
      <c r="P119" s="27">
        <v>146.6</v>
      </c>
      <c r="Q119">
        <v>-1</v>
      </c>
      <c r="R119" s="4">
        <v>-10.1</v>
      </c>
      <c r="S119" s="19"/>
      <c r="U119" s="37">
        <v>85</v>
      </c>
      <c r="V119" s="27" t="s">
        <v>353</v>
      </c>
      <c r="W119" s="27"/>
      <c r="X119" s="27" t="s">
        <v>2246</v>
      </c>
      <c r="Y119" s="27" t="s">
        <v>2247</v>
      </c>
      <c r="Z119" s="27" t="s">
        <v>694</v>
      </c>
      <c r="AA119" s="27" t="s">
        <v>2528</v>
      </c>
      <c r="AB119" s="27" t="s">
        <v>695</v>
      </c>
      <c r="AC119" s="27" t="s">
        <v>696</v>
      </c>
      <c r="AD119" s="27" t="s">
        <v>687</v>
      </c>
      <c r="AE119" s="27" t="s">
        <v>697</v>
      </c>
      <c r="AF119" s="27"/>
      <c r="AG119" s="27" t="s">
        <v>698</v>
      </c>
      <c r="AH119" s="27" t="s">
        <v>699</v>
      </c>
      <c r="AI119" s="27"/>
      <c r="AJ119" s="27" t="s">
        <v>700</v>
      </c>
      <c r="AK119" s="27" t="s">
        <v>701</v>
      </c>
      <c r="AL119" s="27" t="s">
        <v>2730</v>
      </c>
      <c r="AM119" s="27" t="s">
        <v>702</v>
      </c>
      <c r="AN119" s="27" t="s">
        <v>703</v>
      </c>
      <c r="AO119" s="27">
        <v>44.5</v>
      </c>
      <c r="AP119" s="27">
        <v>85</v>
      </c>
    </row>
    <row r="120" spans="2:42" ht="13.5" thickBot="1">
      <c r="B120" s="3">
        <v>492</v>
      </c>
      <c r="C120" s="3">
        <v>71.5</v>
      </c>
      <c r="D120" s="122">
        <v>-146.5</v>
      </c>
      <c r="E120" s="4">
        <v>-8.2899999999999991</v>
      </c>
      <c r="F120" s="5">
        <v>118</v>
      </c>
      <c r="H120" s="19">
        <v>44</v>
      </c>
      <c r="J120" s="5">
        <v>83</v>
      </c>
      <c r="L120" s="27" t="s">
        <v>1910</v>
      </c>
      <c r="N120" s="3">
        <v>492</v>
      </c>
      <c r="P120" s="27">
        <v>146.5</v>
      </c>
      <c r="Q120">
        <v>-1</v>
      </c>
      <c r="R120" s="4">
        <v>-10.07</v>
      </c>
      <c r="S120" s="19" t="s">
        <v>1911</v>
      </c>
      <c r="U120" s="37">
        <v>84</v>
      </c>
      <c r="V120" s="27" t="s">
        <v>169</v>
      </c>
      <c r="W120" s="27"/>
      <c r="X120" s="27" t="s">
        <v>704</v>
      </c>
      <c r="Y120" s="27"/>
      <c r="Z120" s="27" t="s">
        <v>2568</v>
      </c>
      <c r="AA120" s="27" t="s">
        <v>2569</v>
      </c>
      <c r="AB120" s="27" t="s">
        <v>705</v>
      </c>
      <c r="AC120" s="27" t="s">
        <v>706</v>
      </c>
      <c r="AD120" s="27" t="s">
        <v>707</v>
      </c>
      <c r="AE120" s="27" t="s">
        <v>706</v>
      </c>
      <c r="AF120" s="27" t="s">
        <v>707</v>
      </c>
      <c r="AG120" s="27" t="s">
        <v>708</v>
      </c>
      <c r="AH120" s="27" t="s">
        <v>266</v>
      </c>
      <c r="AI120" s="27" t="s">
        <v>709</v>
      </c>
      <c r="AJ120" s="27" t="s">
        <v>710</v>
      </c>
      <c r="AK120" s="27" t="s">
        <v>2318</v>
      </c>
      <c r="AL120" s="27" t="s">
        <v>2699</v>
      </c>
      <c r="AM120" s="27" t="s">
        <v>711</v>
      </c>
      <c r="AN120" s="27" t="s">
        <v>712</v>
      </c>
      <c r="AO120" s="27"/>
      <c r="AP120" s="27">
        <v>84</v>
      </c>
    </row>
    <row r="121" spans="2:42" ht="13.5" thickBot="1">
      <c r="B121" s="3">
        <v>493</v>
      </c>
      <c r="C121" s="3">
        <v>72</v>
      </c>
      <c r="D121" s="122">
        <v>-146.4</v>
      </c>
      <c r="E121" s="4">
        <v>-8.2799999999999994</v>
      </c>
      <c r="F121" s="5">
        <v>119</v>
      </c>
      <c r="G121">
        <v>-8.9</v>
      </c>
      <c r="H121" s="19">
        <v>43.5</v>
      </c>
      <c r="J121" s="5">
        <v>82</v>
      </c>
      <c r="L121" s="27" t="s">
        <v>1912</v>
      </c>
      <c r="N121" s="3">
        <v>493</v>
      </c>
      <c r="P121" s="27">
        <v>146.4</v>
      </c>
      <c r="Q121">
        <v>-1</v>
      </c>
      <c r="R121" s="4">
        <v>-10.039999999999999</v>
      </c>
      <c r="S121" s="19" t="s">
        <v>1913</v>
      </c>
      <c r="U121" s="37">
        <v>83</v>
      </c>
      <c r="V121" s="27" t="s">
        <v>713</v>
      </c>
      <c r="W121" s="27"/>
      <c r="X121" s="27" t="s">
        <v>2270</v>
      </c>
      <c r="Y121" s="27" t="s">
        <v>2271</v>
      </c>
      <c r="Z121" s="27" t="s">
        <v>714</v>
      </c>
      <c r="AA121" s="27" t="s">
        <v>2599</v>
      </c>
      <c r="AB121" s="27" t="s">
        <v>715</v>
      </c>
      <c r="AC121" s="27" t="s">
        <v>716</v>
      </c>
      <c r="AD121" s="27"/>
      <c r="AE121" s="27" t="s">
        <v>717</v>
      </c>
      <c r="AF121" s="27"/>
      <c r="AG121" s="27" t="s">
        <v>718</v>
      </c>
      <c r="AH121" s="27" t="s">
        <v>719</v>
      </c>
      <c r="AI121" s="27"/>
      <c r="AJ121" s="27" t="s">
        <v>720</v>
      </c>
      <c r="AK121" s="27" t="s">
        <v>2292</v>
      </c>
      <c r="AL121" s="27" t="s">
        <v>537</v>
      </c>
      <c r="AM121" s="27" t="s">
        <v>721</v>
      </c>
      <c r="AN121" s="27" t="s">
        <v>722</v>
      </c>
      <c r="AO121" s="27">
        <v>44</v>
      </c>
      <c r="AP121" s="27">
        <v>83</v>
      </c>
    </row>
    <row r="122" spans="2:42" ht="13.5" thickBot="1">
      <c r="B122" s="3">
        <v>0</v>
      </c>
      <c r="C122" s="3">
        <v>72.5</v>
      </c>
      <c r="D122" s="122">
        <v>-146.30000000000001</v>
      </c>
      <c r="E122" s="4">
        <v>-8.27</v>
      </c>
      <c r="F122" s="5">
        <v>120</v>
      </c>
      <c r="H122" s="19">
        <v>43</v>
      </c>
      <c r="I122">
        <v>131</v>
      </c>
      <c r="J122" s="5">
        <v>81</v>
      </c>
      <c r="L122" s="27" t="s">
        <v>1914</v>
      </c>
      <c r="N122" s="3"/>
      <c r="P122" s="27">
        <v>146.30000000000001</v>
      </c>
      <c r="Q122">
        <v>-1</v>
      </c>
      <c r="R122" s="4">
        <v>-10</v>
      </c>
      <c r="S122" s="19" t="s">
        <v>1915</v>
      </c>
      <c r="U122" s="37">
        <v>82</v>
      </c>
      <c r="V122" s="27" t="s">
        <v>155</v>
      </c>
      <c r="W122" s="27" t="s">
        <v>723</v>
      </c>
      <c r="X122" s="27" t="s">
        <v>2283</v>
      </c>
      <c r="Y122" s="27"/>
      <c r="Z122" s="27" t="s">
        <v>724</v>
      </c>
      <c r="AA122" s="27" t="s">
        <v>2629</v>
      </c>
      <c r="AB122" s="27" t="s">
        <v>725</v>
      </c>
      <c r="AC122" s="27" t="s">
        <v>726</v>
      </c>
      <c r="AD122" s="27" t="s">
        <v>727</v>
      </c>
      <c r="AE122" s="27" t="s">
        <v>726</v>
      </c>
      <c r="AF122" s="27" t="s">
        <v>727</v>
      </c>
      <c r="AG122" s="27" t="s">
        <v>728</v>
      </c>
      <c r="AH122" s="27" t="s">
        <v>729</v>
      </c>
      <c r="AI122" s="27"/>
      <c r="AJ122" s="27" t="s">
        <v>730</v>
      </c>
      <c r="AK122" s="27" t="s">
        <v>2266</v>
      </c>
      <c r="AL122" s="27" t="s">
        <v>2620</v>
      </c>
      <c r="AM122" s="27" t="s">
        <v>731</v>
      </c>
      <c r="AN122" s="27" t="s">
        <v>732</v>
      </c>
      <c r="AO122" s="27">
        <v>43.5</v>
      </c>
      <c r="AP122" s="27">
        <v>82</v>
      </c>
    </row>
    <row r="123" spans="2:42" ht="13.5" thickBot="1">
      <c r="B123" s="3">
        <v>494.00000000000006</v>
      </c>
      <c r="C123" s="3">
        <v>73</v>
      </c>
      <c r="D123" s="122">
        <v>-146.19999999999999</v>
      </c>
      <c r="E123" s="4">
        <v>-8.26</v>
      </c>
      <c r="F123" s="5">
        <v>121</v>
      </c>
      <c r="H123" s="19"/>
      <c r="J123" s="5">
        <v>80</v>
      </c>
      <c r="L123" s="27" t="s">
        <v>1916</v>
      </c>
      <c r="N123" s="3">
        <v>494</v>
      </c>
      <c r="P123" s="27">
        <v>146.19999999999999</v>
      </c>
      <c r="Q123">
        <v>-1</v>
      </c>
      <c r="R123" s="4">
        <v>-9.9600000000000009</v>
      </c>
      <c r="S123" s="19"/>
      <c r="U123" s="37">
        <v>81</v>
      </c>
      <c r="V123" s="27" t="s">
        <v>733</v>
      </c>
      <c r="W123" s="27"/>
      <c r="X123" s="27" t="s">
        <v>734</v>
      </c>
      <c r="Y123" s="27" t="s">
        <v>2297</v>
      </c>
      <c r="Z123" s="27" t="s">
        <v>735</v>
      </c>
      <c r="AA123" s="27" t="s">
        <v>2660</v>
      </c>
      <c r="AB123" s="27" t="s">
        <v>736</v>
      </c>
      <c r="AC123" s="27" t="s">
        <v>737</v>
      </c>
      <c r="AD123" s="27" t="s">
        <v>738</v>
      </c>
      <c r="AE123" s="27" t="s">
        <v>739</v>
      </c>
      <c r="AF123" s="27" t="s">
        <v>738</v>
      </c>
      <c r="AG123" s="27" t="s">
        <v>740</v>
      </c>
      <c r="AH123" s="27" t="s">
        <v>238</v>
      </c>
      <c r="AI123" s="27" t="s">
        <v>741</v>
      </c>
      <c r="AJ123" s="27" t="s">
        <v>742</v>
      </c>
      <c r="AK123" s="27" t="s">
        <v>743</v>
      </c>
      <c r="AL123" s="27" t="s">
        <v>2590</v>
      </c>
      <c r="AM123" s="27" t="s">
        <v>744</v>
      </c>
      <c r="AN123" s="27" t="s">
        <v>745</v>
      </c>
      <c r="AO123" s="27">
        <v>43</v>
      </c>
      <c r="AP123" s="27">
        <v>81</v>
      </c>
    </row>
    <row r="124" spans="2:42" ht="13.5" thickBot="1">
      <c r="B124" s="3">
        <v>495</v>
      </c>
      <c r="C124" s="3">
        <v>73.5</v>
      </c>
      <c r="D124" s="122">
        <v>-146.1</v>
      </c>
      <c r="E124" s="4">
        <v>-8.25</v>
      </c>
      <c r="F124" s="5">
        <v>122</v>
      </c>
      <c r="H124" s="19">
        <v>42.5</v>
      </c>
      <c r="J124" s="5">
        <v>79</v>
      </c>
      <c r="L124" s="27" t="s">
        <v>1917</v>
      </c>
      <c r="N124" s="3">
        <v>495</v>
      </c>
      <c r="P124" s="27">
        <v>146.1</v>
      </c>
      <c r="Q124">
        <v>-1</v>
      </c>
      <c r="R124" s="4">
        <v>-9.92</v>
      </c>
      <c r="S124" s="19" t="s">
        <v>1918</v>
      </c>
      <c r="U124" s="37">
        <v>80</v>
      </c>
      <c r="V124" s="27" t="s">
        <v>140</v>
      </c>
      <c r="W124" s="27"/>
      <c r="X124" s="27" t="s">
        <v>746</v>
      </c>
      <c r="Y124" s="27"/>
      <c r="Z124" s="27" t="s">
        <v>747</v>
      </c>
      <c r="AA124" s="27" t="s">
        <v>2692</v>
      </c>
      <c r="AB124" s="27" t="s">
        <v>748</v>
      </c>
      <c r="AC124" s="27" t="s">
        <v>749</v>
      </c>
      <c r="AD124" s="27" t="s">
        <v>750</v>
      </c>
      <c r="AE124" s="27" t="s">
        <v>751</v>
      </c>
      <c r="AF124" s="27" t="s">
        <v>750</v>
      </c>
      <c r="AG124" s="27" t="s">
        <v>752</v>
      </c>
      <c r="AH124" s="27" t="s">
        <v>753</v>
      </c>
      <c r="AI124" s="27"/>
      <c r="AJ124" s="27" t="s">
        <v>754</v>
      </c>
      <c r="AK124" s="27" t="s">
        <v>2203</v>
      </c>
      <c r="AL124" s="27" t="s">
        <v>2561</v>
      </c>
      <c r="AM124" s="27" t="s">
        <v>755</v>
      </c>
      <c r="AN124" s="27" t="s">
        <v>756</v>
      </c>
      <c r="AO124" s="27"/>
      <c r="AP124" s="27">
        <v>80</v>
      </c>
    </row>
    <row r="125" spans="2:42" ht="13.5" thickBot="1">
      <c r="B125" s="3">
        <v>496</v>
      </c>
      <c r="C125" s="3">
        <v>74</v>
      </c>
      <c r="D125" s="122">
        <v>-146</v>
      </c>
      <c r="E125" s="4">
        <v>-8.24</v>
      </c>
      <c r="F125" s="5">
        <v>123</v>
      </c>
      <c r="G125">
        <v>-9</v>
      </c>
      <c r="H125" s="19">
        <v>42</v>
      </c>
      <c r="I125">
        <v>130</v>
      </c>
      <c r="J125" s="5">
        <v>78</v>
      </c>
      <c r="L125" s="27" t="s">
        <v>1919</v>
      </c>
      <c r="N125" s="3">
        <v>496</v>
      </c>
      <c r="P125" s="27">
        <v>146</v>
      </c>
      <c r="Q125">
        <v>-1</v>
      </c>
      <c r="R125" s="4">
        <v>-9.8800000000000008</v>
      </c>
      <c r="S125" s="19" t="s">
        <v>1920</v>
      </c>
      <c r="U125" s="37">
        <v>79</v>
      </c>
      <c r="V125" s="27" t="s">
        <v>757</v>
      </c>
      <c r="W125" s="27"/>
      <c r="X125" s="27" t="s">
        <v>758</v>
      </c>
      <c r="Y125" s="27" t="s">
        <v>2336</v>
      </c>
      <c r="Z125" s="27" t="s">
        <v>2737</v>
      </c>
      <c r="AA125" s="27" t="s">
        <v>2738</v>
      </c>
      <c r="AB125" s="27" t="s">
        <v>759</v>
      </c>
      <c r="AC125" s="27" t="s">
        <v>760</v>
      </c>
      <c r="AD125" s="27" t="s">
        <v>761</v>
      </c>
      <c r="AE125" s="27" t="s">
        <v>762</v>
      </c>
      <c r="AF125" s="27"/>
      <c r="AG125" s="27" t="s">
        <v>763</v>
      </c>
      <c r="AH125" s="27" t="s">
        <v>764</v>
      </c>
      <c r="AI125" s="27" t="s">
        <v>765</v>
      </c>
      <c r="AJ125" s="27" t="s">
        <v>766</v>
      </c>
      <c r="AK125" s="27" t="s">
        <v>2177</v>
      </c>
      <c r="AL125" s="27" t="s">
        <v>579</v>
      </c>
      <c r="AM125" s="27" t="s">
        <v>767</v>
      </c>
      <c r="AN125" s="27" t="s">
        <v>768</v>
      </c>
      <c r="AO125" s="27">
        <v>42.5</v>
      </c>
      <c r="AP125" s="27">
        <v>79</v>
      </c>
    </row>
    <row r="126" spans="2:42" ht="13.5" thickBot="1">
      <c r="B126" s="3">
        <v>0</v>
      </c>
      <c r="C126" s="3">
        <v>74.5</v>
      </c>
      <c r="D126" s="122">
        <v>-145.9</v>
      </c>
      <c r="E126" s="4">
        <v>-8.23</v>
      </c>
      <c r="F126" s="5">
        <v>124</v>
      </c>
      <c r="H126" s="19">
        <v>41.5</v>
      </c>
      <c r="J126" s="5">
        <v>77</v>
      </c>
      <c r="L126" s="27" t="s">
        <v>1921</v>
      </c>
      <c r="N126" s="3"/>
      <c r="P126" s="27">
        <v>145.9</v>
      </c>
      <c r="Q126">
        <v>-1</v>
      </c>
      <c r="R126" s="4">
        <v>-9.84</v>
      </c>
      <c r="S126" s="19" t="s">
        <v>1922</v>
      </c>
      <c r="U126" s="37">
        <v>78</v>
      </c>
      <c r="V126" s="27" t="s">
        <v>127</v>
      </c>
      <c r="W126" s="27" t="s">
        <v>769</v>
      </c>
      <c r="X126" s="27" t="s">
        <v>770</v>
      </c>
      <c r="Y126" s="27"/>
      <c r="Z126" s="27" t="s">
        <v>771</v>
      </c>
      <c r="AA126" s="27" t="s">
        <v>2782</v>
      </c>
      <c r="AB126" s="27" t="s">
        <v>772</v>
      </c>
      <c r="AC126" s="27" t="s">
        <v>773</v>
      </c>
      <c r="AD126" s="27"/>
      <c r="AE126" s="27" t="s">
        <v>774</v>
      </c>
      <c r="AF126" s="27" t="s">
        <v>761</v>
      </c>
      <c r="AG126" s="27" t="s">
        <v>775</v>
      </c>
      <c r="AH126" s="27" t="s">
        <v>210</v>
      </c>
      <c r="AI126" s="27"/>
      <c r="AJ126" s="27" t="s">
        <v>776</v>
      </c>
      <c r="AK126" s="27" t="s">
        <v>2153</v>
      </c>
      <c r="AL126" s="27" t="s">
        <v>2521</v>
      </c>
      <c r="AM126" s="27" t="s">
        <v>777</v>
      </c>
      <c r="AN126" s="27" t="s">
        <v>343</v>
      </c>
      <c r="AO126" s="27">
        <v>42</v>
      </c>
      <c r="AP126" s="27">
        <v>78</v>
      </c>
    </row>
    <row r="127" spans="2:42" ht="13.5" thickBot="1">
      <c r="B127" s="3">
        <v>497</v>
      </c>
      <c r="C127" s="3">
        <v>75</v>
      </c>
      <c r="D127" s="122">
        <v>-145.80000000000001</v>
      </c>
      <c r="E127" s="4">
        <v>-8.2200000000000006</v>
      </c>
      <c r="F127" s="5">
        <v>125</v>
      </c>
      <c r="H127" s="19"/>
      <c r="J127" s="5">
        <v>76</v>
      </c>
      <c r="L127" s="27" t="s">
        <v>1923</v>
      </c>
      <c r="N127" s="3">
        <v>497</v>
      </c>
      <c r="P127" s="27">
        <v>145.80000000000001</v>
      </c>
      <c r="Q127">
        <v>-1</v>
      </c>
      <c r="R127" s="4">
        <v>-9.8000000000000007</v>
      </c>
      <c r="S127" s="19"/>
      <c r="U127" s="37">
        <v>77</v>
      </c>
      <c r="V127" s="27" t="s">
        <v>778</v>
      </c>
      <c r="W127" s="27"/>
      <c r="X127" s="27" t="s">
        <v>779</v>
      </c>
      <c r="Y127" s="27"/>
      <c r="Z127" s="27" t="s">
        <v>780</v>
      </c>
      <c r="AA127" s="27" t="s">
        <v>2825</v>
      </c>
      <c r="AB127" s="27" t="s">
        <v>781</v>
      </c>
      <c r="AC127" s="27" t="s">
        <v>782</v>
      </c>
      <c r="AD127" s="27" t="s">
        <v>783</v>
      </c>
      <c r="AE127" s="27" t="s">
        <v>784</v>
      </c>
      <c r="AF127" s="27" t="s">
        <v>783</v>
      </c>
      <c r="AG127" s="27" t="s">
        <v>785</v>
      </c>
      <c r="AH127" s="27" t="s">
        <v>786</v>
      </c>
      <c r="AI127" s="27" t="s">
        <v>787</v>
      </c>
      <c r="AJ127" s="27" t="s">
        <v>788</v>
      </c>
      <c r="AK127" s="27" t="s">
        <v>789</v>
      </c>
      <c r="AL127" s="27" t="s">
        <v>612</v>
      </c>
      <c r="AM127" s="27" t="s">
        <v>790</v>
      </c>
      <c r="AN127" s="27" t="s">
        <v>791</v>
      </c>
      <c r="AO127" s="27">
        <v>41.5</v>
      </c>
      <c r="AP127" s="27">
        <v>77</v>
      </c>
    </row>
    <row r="128" spans="2:42" ht="13.5" thickBot="1">
      <c r="B128" s="3">
        <v>498.00000000000006</v>
      </c>
      <c r="C128" s="3">
        <v>75.5</v>
      </c>
      <c r="D128" s="122">
        <v>-145.69999999999999</v>
      </c>
      <c r="E128" s="4">
        <v>-8.2100000000000009</v>
      </c>
      <c r="F128" s="5">
        <v>126</v>
      </c>
      <c r="H128" s="19">
        <v>41</v>
      </c>
      <c r="I128">
        <v>129</v>
      </c>
      <c r="J128" s="5">
        <v>75</v>
      </c>
      <c r="L128" s="27" t="s">
        <v>1924</v>
      </c>
      <c r="N128" s="3">
        <v>498</v>
      </c>
      <c r="P128" s="27">
        <v>145.69999999999999</v>
      </c>
      <c r="Q128">
        <v>-1</v>
      </c>
      <c r="R128" s="4">
        <v>-9.76</v>
      </c>
      <c r="S128" s="19" t="s">
        <v>1925</v>
      </c>
      <c r="U128" s="37">
        <v>76</v>
      </c>
      <c r="V128" s="27" t="s">
        <v>114</v>
      </c>
      <c r="W128" s="27"/>
      <c r="X128" s="27" t="s">
        <v>792</v>
      </c>
      <c r="Y128" s="27" t="s">
        <v>2364</v>
      </c>
      <c r="Z128" s="27" t="s">
        <v>793</v>
      </c>
      <c r="AA128" s="27" t="s">
        <v>6</v>
      </c>
      <c r="AB128" s="27" t="s">
        <v>794</v>
      </c>
      <c r="AC128" s="27" t="s">
        <v>795</v>
      </c>
      <c r="AD128" s="27" t="s">
        <v>796</v>
      </c>
      <c r="AE128" s="27" t="s">
        <v>797</v>
      </c>
      <c r="AF128" s="27" t="s">
        <v>796</v>
      </c>
      <c r="AG128" s="27" t="s">
        <v>798</v>
      </c>
      <c r="AH128" s="27" t="s">
        <v>799</v>
      </c>
      <c r="AI128" s="27"/>
      <c r="AJ128" s="27" t="s">
        <v>800</v>
      </c>
      <c r="AK128" s="27" t="s">
        <v>2082</v>
      </c>
      <c r="AL128" s="27" t="s">
        <v>2480</v>
      </c>
      <c r="AM128" s="27" t="s">
        <v>801</v>
      </c>
      <c r="AN128" s="27" t="s">
        <v>802</v>
      </c>
      <c r="AO128" s="27"/>
      <c r="AP128" s="27">
        <v>76</v>
      </c>
    </row>
    <row r="129" spans="2:42" ht="13.5" thickBot="1">
      <c r="B129" s="3">
        <v>499</v>
      </c>
      <c r="C129" s="3">
        <v>76</v>
      </c>
      <c r="D129" s="122">
        <v>-145.6</v>
      </c>
      <c r="E129" s="4">
        <v>-8.1999999999999993</v>
      </c>
      <c r="F129" s="5">
        <v>127</v>
      </c>
      <c r="G129">
        <v>-9.1</v>
      </c>
      <c r="H129" s="19">
        <v>40.5</v>
      </c>
      <c r="J129" s="5">
        <v>74</v>
      </c>
      <c r="L129" s="27" t="s">
        <v>1926</v>
      </c>
      <c r="N129" s="3">
        <v>499</v>
      </c>
      <c r="P129" s="27">
        <v>145.6</v>
      </c>
      <c r="Q129">
        <v>-1</v>
      </c>
      <c r="R129" s="4">
        <v>-9.7200000000000006</v>
      </c>
      <c r="S129" s="19" t="s">
        <v>1927</v>
      </c>
      <c r="U129" s="37">
        <v>75</v>
      </c>
      <c r="V129" s="27" t="s">
        <v>803</v>
      </c>
      <c r="W129" s="27"/>
      <c r="X129" s="27" t="s">
        <v>804</v>
      </c>
      <c r="Y129" s="27"/>
      <c r="Z129" s="27" t="s">
        <v>805</v>
      </c>
      <c r="AA129" s="27" t="s">
        <v>59</v>
      </c>
      <c r="AB129" s="27" t="s">
        <v>806</v>
      </c>
      <c r="AC129" s="27" t="s">
        <v>807</v>
      </c>
      <c r="AD129" s="27" t="s">
        <v>808</v>
      </c>
      <c r="AE129" s="27" t="s">
        <v>809</v>
      </c>
      <c r="AF129" s="27" t="s">
        <v>808</v>
      </c>
      <c r="AG129" s="27" t="s">
        <v>810</v>
      </c>
      <c r="AH129" s="27" t="s">
        <v>184</v>
      </c>
      <c r="AI129" s="27" t="s">
        <v>811</v>
      </c>
      <c r="AJ129" s="27" t="s">
        <v>812</v>
      </c>
      <c r="AK129" s="27" t="s">
        <v>813</v>
      </c>
      <c r="AL129" s="27" t="s">
        <v>2451</v>
      </c>
      <c r="AM129" s="27" t="s">
        <v>814</v>
      </c>
      <c r="AN129" s="27" t="s">
        <v>815</v>
      </c>
      <c r="AO129" s="27">
        <v>41</v>
      </c>
      <c r="AP129" s="27">
        <v>75</v>
      </c>
    </row>
    <row r="130" spans="2:42" ht="13.5" thickBot="1">
      <c r="B130" s="3">
        <v>0</v>
      </c>
      <c r="C130" s="3">
        <v>76.5</v>
      </c>
      <c r="D130" s="122">
        <v>-145.5</v>
      </c>
      <c r="E130" s="4">
        <v>-8.19</v>
      </c>
      <c r="F130" s="5">
        <v>128</v>
      </c>
      <c r="H130" s="19">
        <v>40</v>
      </c>
      <c r="J130" s="5">
        <v>73</v>
      </c>
      <c r="L130" s="27" t="s">
        <v>1928</v>
      </c>
      <c r="N130" s="3"/>
      <c r="P130" s="27">
        <v>145.5</v>
      </c>
      <c r="Q130">
        <v>-1</v>
      </c>
      <c r="R130" s="4">
        <v>-9.68</v>
      </c>
      <c r="S130" s="19" t="s">
        <v>1929</v>
      </c>
      <c r="U130" s="37">
        <v>74</v>
      </c>
      <c r="V130" s="27" t="s">
        <v>102</v>
      </c>
      <c r="W130" s="27" t="s">
        <v>816</v>
      </c>
      <c r="X130" s="27" t="s">
        <v>817</v>
      </c>
      <c r="Y130" s="27" t="s">
        <v>2390</v>
      </c>
      <c r="Z130" s="27" t="s">
        <v>818</v>
      </c>
      <c r="AA130" s="27" t="s">
        <v>112</v>
      </c>
      <c r="AB130" s="27" t="s">
        <v>819</v>
      </c>
      <c r="AC130" s="27" t="s">
        <v>820</v>
      </c>
      <c r="AD130" s="27" t="s">
        <v>821</v>
      </c>
      <c r="AE130" s="27" t="s">
        <v>822</v>
      </c>
      <c r="AF130" s="27" t="s">
        <v>821</v>
      </c>
      <c r="AG130" s="27" t="s">
        <v>823</v>
      </c>
      <c r="AH130" s="27" t="s">
        <v>824</v>
      </c>
      <c r="AI130" s="27"/>
      <c r="AJ130" s="27" t="s">
        <v>825</v>
      </c>
      <c r="AK130" s="27" t="s">
        <v>826</v>
      </c>
      <c r="AL130" s="27" t="s">
        <v>2429</v>
      </c>
      <c r="AM130" s="27" t="s">
        <v>827</v>
      </c>
      <c r="AN130" s="27" t="s">
        <v>828</v>
      </c>
      <c r="AO130" s="27">
        <v>40.5</v>
      </c>
      <c r="AP130" s="27">
        <v>74</v>
      </c>
    </row>
    <row r="131" spans="2:42" ht="13.5" thickBot="1">
      <c r="B131" s="3">
        <v>500</v>
      </c>
      <c r="C131" s="3">
        <v>77</v>
      </c>
      <c r="D131" s="122">
        <v>-145.4</v>
      </c>
      <c r="E131" s="4">
        <v>-8.18</v>
      </c>
      <c r="F131" s="5">
        <v>129</v>
      </c>
      <c r="H131" s="19"/>
      <c r="I131">
        <v>128</v>
      </c>
      <c r="J131" s="5">
        <v>72</v>
      </c>
      <c r="L131" s="27" t="s">
        <v>1930</v>
      </c>
      <c r="N131" s="3">
        <v>500</v>
      </c>
      <c r="P131" s="27">
        <v>145.4</v>
      </c>
      <c r="Q131">
        <v>-1</v>
      </c>
      <c r="R131" s="4">
        <v>-9.64</v>
      </c>
      <c r="S131" s="19"/>
      <c r="U131" s="37">
        <v>73</v>
      </c>
      <c r="V131" s="27" t="s">
        <v>829</v>
      </c>
      <c r="W131" s="27"/>
      <c r="X131" s="27" t="s">
        <v>830</v>
      </c>
      <c r="Y131" s="27"/>
      <c r="Z131" s="27" t="s">
        <v>831</v>
      </c>
      <c r="AA131" s="27" t="s">
        <v>167</v>
      </c>
      <c r="AB131" s="27" t="s">
        <v>832</v>
      </c>
      <c r="AC131" s="27" t="s">
        <v>833</v>
      </c>
      <c r="AD131" s="27" t="s">
        <v>834</v>
      </c>
      <c r="AE131" s="27" t="s">
        <v>833</v>
      </c>
      <c r="AF131" s="27" t="s">
        <v>834</v>
      </c>
      <c r="AG131" s="27" t="s">
        <v>835</v>
      </c>
      <c r="AH131" s="27" t="s">
        <v>836</v>
      </c>
      <c r="AI131" s="27" t="s">
        <v>837</v>
      </c>
      <c r="AJ131" s="27" t="s">
        <v>838</v>
      </c>
      <c r="AK131" s="27" t="s">
        <v>839</v>
      </c>
      <c r="AL131" s="27" t="s">
        <v>2404</v>
      </c>
      <c r="AM131" s="27" t="s">
        <v>840</v>
      </c>
      <c r="AN131" s="27" t="s">
        <v>841</v>
      </c>
      <c r="AO131" s="27">
        <v>40</v>
      </c>
      <c r="AP131" s="27">
        <v>73</v>
      </c>
    </row>
    <row r="132" spans="2:42" ht="13.5" thickBot="1">
      <c r="B132" s="3">
        <v>501</v>
      </c>
      <c r="C132" s="3">
        <v>77.5</v>
      </c>
      <c r="D132" s="122">
        <v>-145.30000000000001</v>
      </c>
      <c r="E132" s="4">
        <v>-8.16</v>
      </c>
      <c r="F132" s="5">
        <v>130</v>
      </c>
      <c r="G132">
        <v>-9.1999999999999993</v>
      </c>
      <c r="H132" s="19">
        <v>39.5</v>
      </c>
      <c r="J132" s="5">
        <v>71</v>
      </c>
      <c r="L132" s="27" t="s">
        <v>1931</v>
      </c>
      <c r="N132" s="3">
        <v>501</v>
      </c>
      <c r="P132" s="27">
        <v>145.30000000000001</v>
      </c>
      <c r="Q132">
        <v>-1</v>
      </c>
      <c r="R132" s="4">
        <v>-9.6199999999999992</v>
      </c>
      <c r="S132" s="19" t="s">
        <v>1932</v>
      </c>
      <c r="U132" s="37">
        <v>72</v>
      </c>
      <c r="V132" s="27" t="s">
        <v>842</v>
      </c>
      <c r="W132" s="27"/>
      <c r="X132" s="27" t="s">
        <v>843</v>
      </c>
      <c r="Y132" s="27" t="s">
        <v>2421</v>
      </c>
      <c r="Z132" s="27" t="s">
        <v>844</v>
      </c>
      <c r="AA132" s="27" t="s">
        <v>221</v>
      </c>
      <c r="AB132" s="27" t="s">
        <v>845</v>
      </c>
      <c r="AC132" s="27" t="s">
        <v>846</v>
      </c>
      <c r="AD132" s="27" t="s">
        <v>847</v>
      </c>
      <c r="AE132" s="27" t="s">
        <v>846</v>
      </c>
      <c r="AF132" s="27" t="s">
        <v>847</v>
      </c>
      <c r="AG132" s="27" t="s">
        <v>848</v>
      </c>
      <c r="AH132" s="27" t="s">
        <v>159</v>
      </c>
      <c r="AI132" s="27"/>
      <c r="AJ132" s="27" t="s">
        <v>849</v>
      </c>
      <c r="AK132" s="27" t="s">
        <v>850</v>
      </c>
      <c r="AL132" s="27" t="s">
        <v>2384</v>
      </c>
      <c r="AM132" s="27" t="s">
        <v>851</v>
      </c>
      <c r="AN132" s="27" t="s">
        <v>852</v>
      </c>
      <c r="AO132" s="27"/>
      <c r="AP132" s="27">
        <v>72</v>
      </c>
    </row>
    <row r="133" spans="2:42" ht="13.5" thickBot="1">
      <c r="B133" s="3">
        <v>501.99999999999994</v>
      </c>
      <c r="C133" s="3">
        <v>78</v>
      </c>
      <c r="D133" s="122">
        <v>-145.19999999999999</v>
      </c>
      <c r="E133" s="4">
        <v>-8.15</v>
      </c>
      <c r="F133" s="5">
        <v>131</v>
      </c>
      <c r="H133" s="19">
        <v>39</v>
      </c>
      <c r="J133" s="5">
        <v>70</v>
      </c>
      <c r="L133" s="27" t="s">
        <v>1933</v>
      </c>
      <c r="N133" s="3">
        <v>502</v>
      </c>
      <c r="P133" s="27">
        <v>145.19999999999999</v>
      </c>
      <c r="Q133">
        <v>-1</v>
      </c>
      <c r="R133" s="4">
        <v>-9.58</v>
      </c>
      <c r="S133" s="19" t="s">
        <v>1934</v>
      </c>
      <c r="U133" s="37">
        <v>71</v>
      </c>
      <c r="V133" s="27" t="s">
        <v>76</v>
      </c>
      <c r="W133" s="27" t="s">
        <v>853</v>
      </c>
      <c r="X133" s="27" t="s">
        <v>854</v>
      </c>
      <c r="Y133" s="27"/>
      <c r="Z133" s="27" t="s">
        <v>855</v>
      </c>
      <c r="AA133" s="27" t="s">
        <v>275</v>
      </c>
      <c r="AB133" s="27" t="s">
        <v>856</v>
      </c>
      <c r="AC133" s="27" t="s">
        <v>857</v>
      </c>
      <c r="AD133" s="27" t="s">
        <v>858</v>
      </c>
      <c r="AE133" s="27" t="s">
        <v>857</v>
      </c>
      <c r="AF133" s="27" t="s">
        <v>858</v>
      </c>
      <c r="AG133" s="27" t="s">
        <v>859</v>
      </c>
      <c r="AH133" s="27" t="s">
        <v>860</v>
      </c>
      <c r="AI133" s="27" t="s">
        <v>861</v>
      </c>
      <c r="AJ133" s="27" t="s">
        <v>862</v>
      </c>
      <c r="AK133" s="27" t="s">
        <v>863</v>
      </c>
      <c r="AL133" s="27" t="s">
        <v>701</v>
      </c>
      <c r="AM133" s="27" t="s">
        <v>864</v>
      </c>
      <c r="AN133" s="27" t="s">
        <v>865</v>
      </c>
      <c r="AO133" s="27">
        <v>39.5</v>
      </c>
      <c r="AP133" s="27">
        <v>71</v>
      </c>
    </row>
    <row r="134" spans="2:42" ht="13.5" thickBot="1">
      <c r="B134" s="3">
        <v>0</v>
      </c>
      <c r="C134" s="3">
        <v>78.5</v>
      </c>
      <c r="D134" s="122">
        <v>-145.1</v>
      </c>
      <c r="E134" s="4">
        <v>-8.14</v>
      </c>
      <c r="F134" s="5">
        <v>132</v>
      </c>
      <c r="H134" s="19">
        <v>38.5</v>
      </c>
      <c r="I134">
        <v>127</v>
      </c>
      <c r="J134" s="5">
        <v>69</v>
      </c>
      <c r="L134" s="27" t="s">
        <v>1935</v>
      </c>
      <c r="N134" s="3"/>
      <c r="P134" s="27">
        <v>145.1</v>
      </c>
      <c r="Q134">
        <v>-1</v>
      </c>
      <c r="R134" s="4">
        <v>-9.5399999999999991</v>
      </c>
      <c r="S134" s="19" t="s">
        <v>1936</v>
      </c>
      <c r="U134" s="37">
        <v>70</v>
      </c>
      <c r="V134" s="27" t="s">
        <v>208</v>
      </c>
      <c r="W134" s="27"/>
      <c r="X134" s="27" t="s">
        <v>2435</v>
      </c>
      <c r="Y134" s="27"/>
      <c r="Z134" s="27" t="s">
        <v>866</v>
      </c>
      <c r="AA134" s="27" t="s">
        <v>327</v>
      </c>
      <c r="AB134" s="27" t="s">
        <v>867</v>
      </c>
      <c r="AC134" s="27" t="s">
        <v>868</v>
      </c>
      <c r="AD134" s="27" t="s">
        <v>869</v>
      </c>
      <c r="AE134" s="27" t="s">
        <v>868</v>
      </c>
      <c r="AF134" s="27" t="s">
        <v>869</v>
      </c>
      <c r="AG134" s="27" t="s">
        <v>870</v>
      </c>
      <c r="AH134" s="27" t="s">
        <v>871</v>
      </c>
      <c r="AI134" s="27"/>
      <c r="AJ134" s="27" t="s">
        <v>872</v>
      </c>
      <c r="AK134" s="27" t="s">
        <v>873</v>
      </c>
      <c r="AL134" s="27" t="s">
        <v>2318</v>
      </c>
      <c r="AM134" s="27" t="s">
        <v>874</v>
      </c>
      <c r="AN134" s="27" t="s">
        <v>875</v>
      </c>
      <c r="AO134" s="27">
        <v>39</v>
      </c>
      <c r="AP134" s="27">
        <v>70</v>
      </c>
    </row>
    <row r="135" spans="2:42" ht="13.5" thickBot="1">
      <c r="B135" s="3">
        <v>503</v>
      </c>
      <c r="C135" s="3">
        <v>79</v>
      </c>
      <c r="D135" s="122">
        <v>-145</v>
      </c>
      <c r="E135" s="4">
        <v>-8.1300000000000008</v>
      </c>
      <c r="F135" s="5">
        <v>133</v>
      </c>
      <c r="H135" s="19"/>
      <c r="J135" s="5">
        <v>68</v>
      </c>
      <c r="L135" s="27" t="s">
        <v>1937</v>
      </c>
      <c r="N135" s="3">
        <v>503</v>
      </c>
      <c r="P135" s="27">
        <v>145</v>
      </c>
      <c r="Q135">
        <v>-1</v>
      </c>
      <c r="R135" s="4">
        <v>-9.5</v>
      </c>
      <c r="S135" s="19"/>
      <c r="U135" s="37">
        <v>69</v>
      </c>
      <c r="V135" s="27" t="s">
        <v>876</v>
      </c>
      <c r="W135" s="27"/>
      <c r="X135" s="27" t="s">
        <v>877</v>
      </c>
      <c r="Y135" s="27" t="s">
        <v>2444</v>
      </c>
      <c r="Z135" s="27" t="s">
        <v>878</v>
      </c>
      <c r="AA135" s="27" t="s">
        <v>375</v>
      </c>
      <c r="AB135" s="27" t="s">
        <v>879</v>
      </c>
      <c r="AC135" s="27" t="s">
        <v>880</v>
      </c>
      <c r="AD135" s="27" t="s">
        <v>881</v>
      </c>
      <c r="AE135" s="27" t="s">
        <v>880</v>
      </c>
      <c r="AF135" s="27" t="s">
        <v>881</v>
      </c>
      <c r="AG135" s="27" t="s">
        <v>882</v>
      </c>
      <c r="AH135" s="27" t="s">
        <v>883</v>
      </c>
      <c r="AI135" s="27" t="s">
        <v>884</v>
      </c>
      <c r="AJ135" s="27" t="s">
        <v>885</v>
      </c>
      <c r="AK135" s="27" t="s">
        <v>886</v>
      </c>
      <c r="AL135" s="27" t="s">
        <v>2292</v>
      </c>
      <c r="AM135" s="27" t="s">
        <v>887</v>
      </c>
      <c r="AN135" s="27" t="s">
        <v>888</v>
      </c>
      <c r="AO135" s="27">
        <v>38.5</v>
      </c>
      <c r="AP135" s="27">
        <v>69</v>
      </c>
    </row>
    <row r="136" spans="2:42" ht="13.5" thickBot="1">
      <c r="B136" s="3">
        <v>504</v>
      </c>
      <c r="C136" s="3">
        <v>79.5</v>
      </c>
      <c r="D136" s="122">
        <v>-144.9</v>
      </c>
      <c r="E136" s="4">
        <v>-8.1199999999999992</v>
      </c>
      <c r="F136" s="5">
        <v>134</v>
      </c>
      <c r="G136">
        <v>-9.3000000000000007</v>
      </c>
      <c r="H136" s="19">
        <v>38</v>
      </c>
      <c r="J136" s="5">
        <v>67</v>
      </c>
      <c r="L136" s="27" t="s">
        <v>1938</v>
      </c>
      <c r="N136" s="3">
        <v>504</v>
      </c>
      <c r="P136" s="27">
        <v>144.9</v>
      </c>
      <c r="Q136">
        <v>-1</v>
      </c>
      <c r="R136" s="4">
        <v>-9.4600000000000009</v>
      </c>
      <c r="S136" s="19" t="s">
        <v>1939</v>
      </c>
      <c r="U136" s="37">
        <v>68</v>
      </c>
      <c r="V136" s="27" t="s">
        <v>889</v>
      </c>
      <c r="W136" s="27"/>
      <c r="X136" s="27" t="s">
        <v>890</v>
      </c>
      <c r="Y136" s="27"/>
      <c r="Z136" s="27" t="s">
        <v>891</v>
      </c>
      <c r="AA136" s="27" t="s">
        <v>409</v>
      </c>
      <c r="AB136" s="27" t="s">
        <v>892</v>
      </c>
      <c r="AC136" s="27" t="s">
        <v>893</v>
      </c>
      <c r="AD136" s="27" t="s">
        <v>894</v>
      </c>
      <c r="AE136" s="27" t="s">
        <v>893</v>
      </c>
      <c r="AF136" s="27" t="s">
        <v>894</v>
      </c>
      <c r="AG136" s="27" t="s">
        <v>895</v>
      </c>
      <c r="AH136" s="27" t="s">
        <v>896</v>
      </c>
      <c r="AI136" s="27"/>
      <c r="AJ136" s="27" t="s">
        <v>897</v>
      </c>
      <c r="AK136" s="27" t="s">
        <v>898</v>
      </c>
      <c r="AL136" s="27" t="s">
        <v>2266</v>
      </c>
      <c r="AM136" s="27" t="s">
        <v>899</v>
      </c>
      <c r="AN136" s="27" t="s">
        <v>900</v>
      </c>
      <c r="AO136" s="27"/>
      <c r="AP136" s="27">
        <v>68</v>
      </c>
    </row>
    <row r="137" spans="2:42" ht="13.5" thickBot="1">
      <c r="B137" s="3">
        <v>505</v>
      </c>
      <c r="C137" s="3">
        <v>80</v>
      </c>
      <c r="D137" s="122">
        <v>-144.80000000000001</v>
      </c>
      <c r="E137" s="4">
        <v>-8.1</v>
      </c>
      <c r="F137" s="5">
        <v>135</v>
      </c>
      <c r="H137" s="19">
        <v>37.5</v>
      </c>
      <c r="I137">
        <v>126</v>
      </c>
      <c r="J137" s="5">
        <v>66</v>
      </c>
      <c r="L137" s="27" t="s">
        <v>1940</v>
      </c>
      <c r="N137" s="3">
        <v>505</v>
      </c>
      <c r="P137" s="27">
        <v>144.80000000000001</v>
      </c>
      <c r="Q137">
        <v>-1</v>
      </c>
      <c r="R137" s="4">
        <v>-9.43</v>
      </c>
      <c r="S137" s="19" t="s">
        <v>1941</v>
      </c>
      <c r="U137" s="37">
        <v>67</v>
      </c>
      <c r="V137" s="27" t="s">
        <v>48</v>
      </c>
      <c r="W137" s="27" t="s">
        <v>901</v>
      </c>
      <c r="X137" s="27" t="s">
        <v>2470</v>
      </c>
      <c r="Y137" s="27" t="s">
        <v>2471</v>
      </c>
      <c r="Z137" s="27" t="s">
        <v>902</v>
      </c>
      <c r="AA137" s="27" t="s">
        <v>455</v>
      </c>
      <c r="AB137" s="27" t="s">
        <v>903</v>
      </c>
      <c r="AC137" s="27" t="s">
        <v>904</v>
      </c>
      <c r="AD137" s="27" t="s">
        <v>905</v>
      </c>
      <c r="AE137" s="27" t="s">
        <v>904</v>
      </c>
      <c r="AF137" s="27" t="s">
        <v>905</v>
      </c>
      <c r="AG137" s="27" t="s">
        <v>906</v>
      </c>
      <c r="AH137" s="27" t="s">
        <v>907</v>
      </c>
      <c r="AI137" s="27" t="s">
        <v>908</v>
      </c>
      <c r="AJ137" s="27" t="s">
        <v>909</v>
      </c>
      <c r="AK137" s="27" t="s">
        <v>910</v>
      </c>
      <c r="AL137" s="27" t="s">
        <v>743</v>
      </c>
      <c r="AM137" s="27" t="s">
        <v>911</v>
      </c>
      <c r="AN137" s="27" t="s">
        <v>912</v>
      </c>
      <c r="AO137" s="27">
        <v>38</v>
      </c>
      <c r="AP137" s="27">
        <v>67</v>
      </c>
    </row>
    <row r="138" spans="2:42" ht="13.5" thickBot="1">
      <c r="B138" s="3">
        <v>0</v>
      </c>
      <c r="C138" s="3">
        <v>80.5</v>
      </c>
      <c r="D138" s="122">
        <v>-144.69999999999999</v>
      </c>
      <c r="E138" s="4">
        <v>-8.09</v>
      </c>
      <c r="F138" s="5">
        <v>136</v>
      </c>
      <c r="H138" s="19">
        <v>37</v>
      </c>
      <c r="J138" s="5">
        <v>65</v>
      </c>
      <c r="L138" s="27" t="s">
        <v>1942</v>
      </c>
      <c r="N138" s="3"/>
      <c r="P138" s="27">
        <v>144.69999999999999</v>
      </c>
      <c r="Q138">
        <v>-1</v>
      </c>
      <c r="R138" s="4">
        <v>-9.4</v>
      </c>
      <c r="S138" s="19" t="s">
        <v>1943</v>
      </c>
      <c r="U138" s="37">
        <v>66</v>
      </c>
      <c r="V138" s="27" t="s">
        <v>913</v>
      </c>
      <c r="W138" s="27"/>
      <c r="X138" s="27" t="s">
        <v>2485</v>
      </c>
      <c r="Y138" s="27"/>
      <c r="Z138" s="27" t="s">
        <v>914</v>
      </c>
      <c r="AA138" s="27" t="s">
        <v>488</v>
      </c>
      <c r="AB138" s="27" t="s">
        <v>915</v>
      </c>
      <c r="AC138" s="27" t="s">
        <v>916</v>
      </c>
      <c r="AD138" s="27" t="s">
        <v>917</v>
      </c>
      <c r="AE138" s="27" t="s">
        <v>916</v>
      </c>
      <c r="AF138" s="27" t="s">
        <v>917</v>
      </c>
      <c r="AG138" s="27" t="s">
        <v>918</v>
      </c>
      <c r="AH138" s="27" t="s">
        <v>919</v>
      </c>
      <c r="AI138" s="27"/>
      <c r="AJ138" s="27" t="s">
        <v>920</v>
      </c>
      <c r="AK138" s="27" t="s">
        <v>921</v>
      </c>
      <c r="AL138" s="27" t="s">
        <v>2203</v>
      </c>
      <c r="AM138" s="27" t="s">
        <v>922</v>
      </c>
      <c r="AN138" s="27" t="s">
        <v>923</v>
      </c>
      <c r="AO138" s="27">
        <v>37.5</v>
      </c>
      <c r="AP138" s="27">
        <v>66</v>
      </c>
    </row>
    <row r="139" spans="2:42" ht="13.5" thickBot="1">
      <c r="B139" s="3">
        <v>505.99999999999994</v>
      </c>
      <c r="C139" s="3">
        <v>81</v>
      </c>
      <c r="D139" s="122">
        <v>-144.6</v>
      </c>
      <c r="E139" s="4">
        <v>-8.07</v>
      </c>
      <c r="F139" s="5">
        <v>137</v>
      </c>
      <c r="G139">
        <v>-9.4</v>
      </c>
      <c r="H139" s="19"/>
      <c r="J139" s="5">
        <v>64</v>
      </c>
      <c r="L139" s="27" t="s">
        <v>1944</v>
      </c>
      <c r="N139" s="3">
        <v>506</v>
      </c>
      <c r="P139" s="27">
        <v>144.6</v>
      </c>
      <c r="Q139">
        <v>-1</v>
      </c>
      <c r="R139" s="4">
        <v>-9.3800000000000008</v>
      </c>
      <c r="S139" s="19"/>
      <c r="U139" s="37">
        <v>65</v>
      </c>
      <c r="V139" s="27" t="s">
        <v>35</v>
      </c>
      <c r="W139" s="27"/>
      <c r="X139" s="27" t="s">
        <v>924</v>
      </c>
      <c r="Y139" s="27"/>
      <c r="Z139" s="27" t="s">
        <v>925</v>
      </c>
      <c r="AA139" s="27" t="s">
        <v>390</v>
      </c>
      <c r="AB139" s="27" t="s">
        <v>926</v>
      </c>
      <c r="AC139" s="27" t="s">
        <v>927</v>
      </c>
      <c r="AD139" s="27" t="s">
        <v>928</v>
      </c>
      <c r="AE139" s="27" t="s">
        <v>927</v>
      </c>
      <c r="AF139" s="27" t="s">
        <v>928</v>
      </c>
      <c r="AG139" s="27" t="s">
        <v>929</v>
      </c>
      <c r="AH139" s="27" t="s">
        <v>930</v>
      </c>
      <c r="AI139" s="27" t="s">
        <v>931</v>
      </c>
      <c r="AJ139" s="27" t="s">
        <v>932</v>
      </c>
      <c r="AK139" s="27" t="s">
        <v>933</v>
      </c>
      <c r="AL139" s="27" t="s">
        <v>2177</v>
      </c>
      <c r="AM139" s="27" t="s">
        <v>934</v>
      </c>
      <c r="AN139" s="27" t="s">
        <v>935</v>
      </c>
      <c r="AO139" s="27">
        <v>37</v>
      </c>
      <c r="AP139" s="27">
        <v>65</v>
      </c>
    </row>
    <row r="140" spans="2:42" ht="13.5" thickBot="1">
      <c r="B140" s="3">
        <v>507</v>
      </c>
      <c r="C140" s="3">
        <v>81.5</v>
      </c>
      <c r="D140" s="122">
        <v>-144.5</v>
      </c>
      <c r="E140" s="4">
        <v>-8.06</v>
      </c>
      <c r="F140" s="5">
        <v>138</v>
      </c>
      <c r="H140" s="19">
        <v>36.5</v>
      </c>
      <c r="I140">
        <v>125</v>
      </c>
      <c r="J140" s="5">
        <v>63</v>
      </c>
      <c r="L140" s="27" t="s">
        <v>1945</v>
      </c>
      <c r="N140" s="3">
        <v>507</v>
      </c>
      <c r="P140" s="27">
        <v>144.5</v>
      </c>
      <c r="Q140">
        <v>-1</v>
      </c>
      <c r="R140" s="4">
        <v>-9.35</v>
      </c>
      <c r="S140" s="19" t="s">
        <v>1946</v>
      </c>
      <c r="U140" s="37">
        <v>64</v>
      </c>
      <c r="V140" s="27" t="s">
        <v>936</v>
      </c>
      <c r="W140" s="27" t="s">
        <v>937</v>
      </c>
      <c r="X140" s="27" t="s">
        <v>2498</v>
      </c>
      <c r="Y140" s="27" t="s">
        <v>2497</v>
      </c>
      <c r="Z140" s="27" t="s">
        <v>938</v>
      </c>
      <c r="AA140" s="27" t="s">
        <v>534</v>
      </c>
      <c r="AB140" s="27" t="s">
        <v>939</v>
      </c>
      <c r="AC140" s="27" t="s">
        <v>940</v>
      </c>
      <c r="AD140" s="27" t="s">
        <v>941</v>
      </c>
      <c r="AE140" s="27" t="s">
        <v>940</v>
      </c>
      <c r="AF140" s="27" t="s">
        <v>941</v>
      </c>
      <c r="AG140" s="27" t="s">
        <v>942</v>
      </c>
      <c r="AH140" s="27" t="s">
        <v>80</v>
      </c>
      <c r="AI140" s="27"/>
      <c r="AJ140" s="27" t="s">
        <v>943</v>
      </c>
      <c r="AK140" s="27" t="s">
        <v>944</v>
      </c>
      <c r="AL140" s="27" t="s">
        <v>2153</v>
      </c>
      <c r="AM140" s="27" t="s">
        <v>945</v>
      </c>
      <c r="AN140" s="27" t="s">
        <v>946</v>
      </c>
      <c r="AO140" s="27"/>
      <c r="AP140" s="27">
        <v>64</v>
      </c>
    </row>
    <row r="141" spans="2:42" ht="13.5" thickBot="1">
      <c r="B141" s="3">
        <v>508</v>
      </c>
      <c r="C141" s="3">
        <v>82</v>
      </c>
      <c r="D141" s="122">
        <v>-144.4</v>
      </c>
      <c r="E141" s="4">
        <v>-8.0500000000000007</v>
      </c>
      <c r="F141" s="5">
        <v>139</v>
      </c>
      <c r="H141" s="19">
        <v>36</v>
      </c>
      <c r="J141" s="5">
        <v>62</v>
      </c>
      <c r="L141" s="27" t="s">
        <v>1947</v>
      </c>
      <c r="N141" s="3">
        <v>508</v>
      </c>
      <c r="P141" s="27">
        <v>144.4</v>
      </c>
      <c r="Q141">
        <v>-1</v>
      </c>
      <c r="R141" s="4">
        <v>-9.32</v>
      </c>
      <c r="S141" s="19" t="s">
        <v>1948</v>
      </c>
      <c r="U141" s="37">
        <v>63</v>
      </c>
      <c r="V141" s="27" t="s">
        <v>141</v>
      </c>
      <c r="W141" s="27"/>
      <c r="X141" s="27" t="s">
        <v>947</v>
      </c>
      <c r="Y141" s="27"/>
      <c r="Z141" s="27" t="s">
        <v>948</v>
      </c>
      <c r="AA141" s="27" t="s">
        <v>548</v>
      </c>
      <c r="AB141" s="27" t="s">
        <v>949</v>
      </c>
      <c r="AC141" s="27" t="s">
        <v>950</v>
      </c>
      <c r="AD141" s="27" t="s">
        <v>951</v>
      </c>
      <c r="AE141" s="27" t="s">
        <v>950</v>
      </c>
      <c r="AF141" s="27" t="s">
        <v>951</v>
      </c>
      <c r="AG141" s="27" t="s">
        <v>952</v>
      </c>
      <c r="AH141" s="27" t="s">
        <v>953</v>
      </c>
      <c r="AI141" s="27" t="s">
        <v>954</v>
      </c>
      <c r="AJ141" s="27" t="s">
        <v>955</v>
      </c>
      <c r="AK141" s="27" t="s">
        <v>956</v>
      </c>
      <c r="AL141" s="27" t="s">
        <v>789</v>
      </c>
      <c r="AM141" s="27" t="s">
        <v>857</v>
      </c>
      <c r="AN141" s="27" t="s">
        <v>957</v>
      </c>
      <c r="AO141" s="27">
        <v>36.5</v>
      </c>
      <c r="AP141" s="27">
        <v>63</v>
      </c>
    </row>
    <row r="142" spans="2:42" ht="13.5" thickBot="1">
      <c r="B142" s="3">
        <v>0</v>
      </c>
      <c r="C142" s="3">
        <v>82.5</v>
      </c>
      <c r="D142" s="122">
        <v>-144.30000000000001</v>
      </c>
      <c r="E142" s="4">
        <v>-8.0299999999999994</v>
      </c>
      <c r="F142" s="5">
        <v>140</v>
      </c>
      <c r="H142" s="19">
        <v>35.5</v>
      </c>
      <c r="I142">
        <v>124</v>
      </c>
      <c r="J142" s="5">
        <v>61</v>
      </c>
      <c r="L142" s="27" t="s">
        <v>1949</v>
      </c>
      <c r="N142" s="3"/>
      <c r="P142" s="27">
        <v>144.30000000000001</v>
      </c>
      <c r="Q142">
        <v>-1</v>
      </c>
      <c r="R142" s="4">
        <v>-9.2899999999999991</v>
      </c>
      <c r="S142" s="19" t="s">
        <v>1950</v>
      </c>
      <c r="U142" s="37">
        <v>62</v>
      </c>
      <c r="V142" s="27" t="s">
        <v>128</v>
      </c>
      <c r="W142" s="27"/>
      <c r="X142" s="27" t="s">
        <v>958</v>
      </c>
      <c r="Y142" s="27" t="s">
        <v>2515</v>
      </c>
      <c r="Z142" s="27" t="s">
        <v>959</v>
      </c>
      <c r="AA142" s="27" t="s">
        <v>567</v>
      </c>
      <c r="AB142" s="27" t="s">
        <v>960</v>
      </c>
      <c r="AC142" s="27" t="s">
        <v>961</v>
      </c>
      <c r="AD142" s="27" t="s">
        <v>962</v>
      </c>
      <c r="AE142" s="27" t="s">
        <v>961</v>
      </c>
      <c r="AF142" s="27" t="s">
        <v>963</v>
      </c>
      <c r="AG142" s="27" t="s">
        <v>964</v>
      </c>
      <c r="AH142" s="27" t="s">
        <v>965</v>
      </c>
      <c r="AI142" s="27"/>
      <c r="AJ142" s="27" t="s">
        <v>966</v>
      </c>
      <c r="AK142" s="27" t="s">
        <v>967</v>
      </c>
      <c r="AL142" s="27" t="s">
        <v>2082</v>
      </c>
      <c r="AM142" s="27" t="s">
        <v>968</v>
      </c>
      <c r="AN142" s="27" t="s">
        <v>969</v>
      </c>
      <c r="AO142" s="27">
        <v>36</v>
      </c>
      <c r="AP142" s="27">
        <v>62</v>
      </c>
    </row>
    <row r="143" spans="2:42" ht="13.5" thickBot="1">
      <c r="B143" s="3">
        <v>509</v>
      </c>
      <c r="C143" s="3">
        <v>83</v>
      </c>
      <c r="D143" s="122">
        <v>-144.19999999999999</v>
      </c>
      <c r="E143" s="4">
        <v>-8.02</v>
      </c>
      <c r="F143" s="5">
        <v>141</v>
      </c>
      <c r="G143">
        <v>-9.5</v>
      </c>
      <c r="H143" s="19"/>
      <c r="J143" s="5">
        <v>60</v>
      </c>
      <c r="L143" s="27" t="s">
        <v>1951</v>
      </c>
      <c r="N143" s="3">
        <v>509</v>
      </c>
      <c r="P143" s="27">
        <v>144.19999999999999</v>
      </c>
      <c r="Q143">
        <v>-1</v>
      </c>
      <c r="R143" s="4">
        <v>-9.26</v>
      </c>
      <c r="S143" s="19"/>
      <c r="U143" s="37">
        <v>61</v>
      </c>
      <c r="V143" s="27" t="s">
        <v>115</v>
      </c>
      <c r="W143" s="27"/>
      <c r="X143" s="27" t="s">
        <v>970</v>
      </c>
      <c r="Y143" s="27"/>
      <c r="Z143" s="27" t="s">
        <v>971</v>
      </c>
      <c r="AA143" s="27" t="s">
        <v>588</v>
      </c>
      <c r="AB143" s="27" t="s">
        <v>972</v>
      </c>
      <c r="AC143" s="27" t="s">
        <v>973</v>
      </c>
      <c r="AD143" s="27" t="s">
        <v>963</v>
      </c>
      <c r="AE143" s="27" t="s">
        <v>973</v>
      </c>
      <c r="AF143" s="27" t="s">
        <v>963</v>
      </c>
      <c r="AG143" s="27" t="s">
        <v>974</v>
      </c>
      <c r="AH143" s="27" t="s">
        <v>975</v>
      </c>
      <c r="AI143" s="27" t="s">
        <v>976</v>
      </c>
      <c r="AJ143" s="27" t="s">
        <v>977</v>
      </c>
      <c r="AK143" s="27" t="s">
        <v>978</v>
      </c>
      <c r="AL143" s="27" t="s">
        <v>813</v>
      </c>
      <c r="AM143" s="27" t="s">
        <v>979</v>
      </c>
      <c r="AN143" s="27" t="s">
        <v>980</v>
      </c>
      <c r="AO143" s="27">
        <v>35.5</v>
      </c>
      <c r="AP143" s="27">
        <v>61</v>
      </c>
    </row>
    <row r="144" spans="2:42" ht="13.5" thickBot="1">
      <c r="B144" s="3">
        <v>509.99999999999994</v>
      </c>
      <c r="C144" s="3">
        <v>83.5</v>
      </c>
      <c r="D144" s="122">
        <v>-144.1</v>
      </c>
      <c r="E144" s="4">
        <v>-8.01</v>
      </c>
      <c r="F144" s="5">
        <v>142</v>
      </c>
      <c r="H144" s="19">
        <v>35</v>
      </c>
      <c r="I144">
        <v>123</v>
      </c>
      <c r="J144" s="5">
        <v>59</v>
      </c>
      <c r="L144" s="27" t="s">
        <v>1952</v>
      </c>
      <c r="N144" s="3">
        <v>510</v>
      </c>
      <c r="P144" s="27">
        <v>144.1</v>
      </c>
      <c r="Q144">
        <v>-1</v>
      </c>
      <c r="R144" s="4">
        <v>-9.24</v>
      </c>
      <c r="S144" s="19" t="s">
        <v>1953</v>
      </c>
      <c r="U144" s="37">
        <v>60</v>
      </c>
      <c r="V144" s="27" t="s">
        <v>981</v>
      </c>
      <c r="W144" s="27" t="s">
        <v>982</v>
      </c>
      <c r="X144" s="27" t="s">
        <v>983</v>
      </c>
      <c r="Y144" s="27"/>
      <c r="Z144" s="27" t="s">
        <v>984</v>
      </c>
      <c r="AA144" s="27" t="s">
        <v>345</v>
      </c>
      <c r="AB144" s="27" t="s">
        <v>985</v>
      </c>
      <c r="AC144" s="27" t="s">
        <v>840</v>
      </c>
      <c r="AD144" s="27" t="s">
        <v>986</v>
      </c>
      <c r="AE144" s="27" t="s">
        <v>840</v>
      </c>
      <c r="AF144" s="27" t="s">
        <v>986</v>
      </c>
      <c r="AG144" s="27" t="s">
        <v>987</v>
      </c>
      <c r="AH144" s="27" t="s">
        <v>988</v>
      </c>
      <c r="AI144" s="27"/>
      <c r="AJ144" s="27" t="s">
        <v>989</v>
      </c>
      <c r="AK144" s="27" t="s">
        <v>990</v>
      </c>
      <c r="AL144" s="27" t="s">
        <v>826</v>
      </c>
      <c r="AM144" s="27" t="s">
        <v>991</v>
      </c>
      <c r="AN144" s="27" t="s">
        <v>992</v>
      </c>
      <c r="AO144" s="27"/>
      <c r="AP144" s="27">
        <v>60</v>
      </c>
    </row>
    <row r="145" spans="2:42" ht="13.5" thickBot="1">
      <c r="B145" s="3">
        <v>511.00000000000006</v>
      </c>
      <c r="C145" s="3">
        <v>84</v>
      </c>
      <c r="D145" s="122">
        <v>-144</v>
      </c>
      <c r="E145" s="4">
        <v>-8</v>
      </c>
      <c r="F145" s="5">
        <v>143</v>
      </c>
      <c r="H145" s="19">
        <v>34.5</v>
      </c>
      <c r="J145" s="5">
        <v>58</v>
      </c>
      <c r="L145" s="27" t="s">
        <v>1954</v>
      </c>
      <c r="N145" s="3">
        <v>511</v>
      </c>
      <c r="P145" s="27">
        <v>144</v>
      </c>
      <c r="Q145">
        <v>-1</v>
      </c>
      <c r="R145" s="4">
        <v>-9.2100000000000009</v>
      </c>
      <c r="S145" s="19" t="s">
        <v>1955</v>
      </c>
      <c r="U145" s="37">
        <v>59</v>
      </c>
      <c r="V145" s="27" t="s">
        <v>993</v>
      </c>
      <c r="W145" s="27"/>
      <c r="X145" s="27" t="s">
        <v>2540</v>
      </c>
      <c r="Y145" s="27" t="s">
        <v>2541</v>
      </c>
      <c r="Z145" s="27" t="s">
        <v>994</v>
      </c>
      <c r="AA145" s="27" t="s">
        <v>995</v>
      </c>
      <c r="AB145" s="27" t="s">
        <v>996</v>
      </c>
      <c r="AC145" s="27" t="s">
        <v>997</v>
      </c>
      <c r="AD145" s="27" t="s">
        <v>998</v>
      </c>
      <c r="AE145" s="27" t="s">
        <v>997</v>
      </c>
      <c r="AF145" s="27" t="s">
        <v>998</v>
      </c>
      <c r="AG145" s="27" t="s">
        <v>999</v>
      </c>
      <c r="AH145" s="27" t="s">
        <v>26</v>
      </c>
      <c r="AI145" s="27" t="s">
        <v>1000</v>
      </c>
      <c r="AJ145" s="27" t="s">
        <v>1001</v>
      </c>
      <c r="AK145" s="27" t="s">
        <v>1002</v>
      </c>
      <c r="AL145" s="27" t="s">
        <v>839</v>
      </c>
      <c r="AM145" s="27" t="s">
        <v>1003</v>
      </c>
      <c r="AN145" s="27" t="s">
        <v>1004</v>
      </c>
      <c r="AO145" s="27">
        <v>35</v>
      </c>
      <c r="AP145" s="27">
        <v>59</v>
      </c>
    </row>
    <row r="146" spans="2:42" ht="13.5" thickBot="1">
      <c r="B146" s="3">
        <v>0</v>
      </c>
      <c r="C146" s="3">
        <v>84.5</v>
      </c>
      <c r="D146" s="122">
        <v>-143.9</v>
      </c>
      <c r="E146" s="4">
        <v>-7.99</v>
      </c>
      <c r="F146" s="5">
        <v>144</v>
      </c>
      <c r="G146">
        <v>-9.6</v>
      </c>
      <c r="H146" s="19">
        <v>34</v>
      </c>
      <c r="I146">
        <v>122</v>
      </c>
      <c r="J146" s="5">
        <v>57</v>
      </c>
      <c r="L146" s="27" t="s">
        <v>1956</v>
      </c>
      <c r="N146" s="3"/>
      <c r="P146" s="27">
        <v>143.9</v>
      </c>
      <c r="Q146">
        <v>-1</v>
      </c>
      <c r="R146" s="4">
        <v>-9.18</v>
      </c>
      <c r="S146" s="19" t="s">
        <v>1957</v>
      </c>
      <c r="U146" s="37">
        <v>58</v>
      </c>
      <c r="V146" s="27" t="s">
        <v>2850</v>
      </c>
      <c r="W146" s="27"/>
      <c r="X146" s="27" t="s">
        <v>2566</v>
      </c>
      <c r="Y146" s="27"/>
      <c r="Z146" s="27" t="s">
        <v>1005</v>
      </c>
      <c r="AA146" s="27" t="s">
        <v>634</v>
      </c>
      <c r="AB146" s="27" t="s">
        <v>1006</v>
      </c>
      <c r="AC146" s="27" t="s">
        <v>1007</v>
      </c>
      <c r="AD146" s="27" t="s">
        <v>1008</v>
      </c>
      <c r="AE146" s="27" t="s">
        <v>1007</v>
      </c>
      <c r="AF146" s="27" t="s">
        <v>1008</v>
      </c>
      <c r="AG146" s="27" t="s">
        <v>1009</v>
      </c>
      <c r="AH146" s="27" t="s">
        <v>1010</v>
      </c>
      <c r="AI146" s="27"/>
      <c r="AJ146" s="27" t="s">
        <v>1011</v>
      </c>
      <c r="AK146" s="27" t="s">
        <v>1012</v>
      </c>
      <c r="AL146" s="27" t="s">
        <v>850</v>
      </c>
      <c r="AM146" s="27" t="s">
        <v>782</v>
      </c>
      <c r="AN146" s="27" t="s">
        <v>1013</v>
      </c>
      <c r="AO146" s="27">
        <v>34.5</v>
      </c>
      <c r="AP146" s="27">
        <v>58</v>
      </c>
    </row>
    <row r="147" spans="2:42" ht="13.5" thickBot="1">
      <c r="B147" s="3">
        <v>512</v>
      </c>
      <c r="C147" s="3">
        <v>85</v>
      </c>
      <c r="D147" s="122">
        <v>-143.80000000000001</v>
      </c>
      <c r="E147" s="4">
        <v>-7.98</v>
      </c>
      <c r="F147" s="5">
        <v>145</v>
      </c>
      <c r="H147" s="19">
        <v>33.5</v>
      </c>
      <c r="J147" s="5">
        <v>56</v>
      </c>
      <c r="L147" s="27" t="s">
        <v>1958</v>
      </c>
      <c r="N147" s="3">
        <v>512</v>
      </c>
      <c r="P147" s="27">
        <v>143.80000000000001</v>
      </c>
      <c r="Q147">
        <v>-1</v>
      </c>
      <c r="R147" s="4">
        <v>-9.15</v>
      </c>
      <c r="S147" s="19" t="s">
        <v>1959</v>
      </c>
      <c r="U147" s="37">
        <v>57</v>
      </c>
      <c r="V147" s="27" t="s">
        <v>1014</v>
      </c>
      <c r="W147" s="27" t="s">
        <v>1015</v>
      </c>
      <c r="X147" s="27" t="s">
        <v>1016</v>
      </c>
      <c r="Y147" s="27" t="s">
        <v>2553</v>
      </c>
      <c r="Z147" s="27" t="s">
        <v>1017</v>
      </c>
      <c r="AA147" s="27" t="s">
        <v>1018</v>
      </c>
      <c r="AB147" s="27" t="s">
        <v>1019</v>
      </c>
      <c r="AC147" s="27" t="s">
        <v>1020</v>
      </c>
      <c r="AD147" s="27" t="s">
        <v>1021</v>
      </c>
      <c r="AE147" s="27" t="s">
        <v>1020</v>
      </c>
      <c r="AF147" s="27" t="s">
        <v>1021</v>
      </c>
      <c r="AG147" s="27" t="s">
        <v>1022</v>
      </c>
      <c r="AH147" s="27" t="s">
        <v>1023</v>
      </c>
      <c r="AI147" s="27" t="s">
        <v>1024</v>
      </c>
      <c r="AJ147" s="27" t="s">
        <v>1025</v>
      </c>
      <c r="AK147" s="27" t="s">
        <v>1026</v>
      </c>
      <c r="AL147" s="27" t="s">
        <v>863</v>
      </c>
      <c r="AM147" s="27" t="s">
        <v>774</v>
      </c>
      <c r="AN147" s="27" t="s">
        <v>1027</v>
      </c>
      <c r="AO147" s="27">
        <v>34</v>
      </c>
      <c r="AP147" s="27">
        <v>57</v>
      </c>
    </row>
    <row r="148" spans="2:42" ht="13.5" thickBot="1">
      <c r="B148" s="3">
        <v>513</v>
      </c>
      <c r="C148" s="3">
        <v>85.5</v>
      </c>
      <c r="D148" s="122">
        <v>-143.69999999999999</v>
      </c>
      <c r="E148" s="4">
        <v>-7.97</v>
      </c>
      <c r="F148" s="5">
        <v>146</v>
      </c>
      <c r="H148" s="19"/>
      <c r="I148">
        <v>121</v>
      </c>
      <c r="J148" s="5">
        <v>55</v>
      </c>
      <c r="L148" s="27" t="s">
        <v>1960</v>
      </c>
      <c r="N148" s="3">
        <v>513</v>
      </c>
      <c r="P148" s="27">
        <v>143.69999999999999</v>
      </c>
      <c r="Q148">
        <v>-1</v>
      </c>
      <c r="R148" s="4">
        <v>-9.1199999999999992</v>
      </c>
      <c r="S148" s="19"/>
      <c r="U148" s="37">
        <v>56</v>
      </c>
      <c r="V148" s="27" t="s">
        <v>1028</v>
      </c>
      <c r="W148" s="27"/>
      <c r="X148" s="27" t="s">
        <v>1029</v>
      </c>
      <c r="Y148" s="27"/>
      <c r="Z148" s="27" t="s">
        <v>1030</v>
      </c>
      <c r="AA148" s="27" t="s">
        <v>665</v>
      </c>
      <c r="AB148" s="27" t="s">
        <v>1031</v>
      </c>
      <c r="AC148" s="27" t="s">
        <v>1032</v>
      </c>
      <c r="AD148" s="27" t="s">
        <v>1033</v>
      </c>
      <c r="AE148" s="27" t="s">
        <v>1032</v>
      </c>
      <c r="AF148" s="27" t="s">
        <v>1033</v>
      </c>
      <c r="AG148" s="27" t="s">
        <v>1034</v>
      </c>
      <c r="AH148" s="27" t="s">
        <v>1035</v>
      </c>
      <c r="AI148" s="27"/>
      <c r="AJ148" s="27" t="s">
        <v>1036</v>
      </c>
      <c r="AK148" s="27" t="s">
        <v>1037</v>
      </c>
      <c r="AL148" s="27" t="s">
        <v>873</v>
      </c>
      <c r="AM148" s="27" t="s">
        <v>749</v>
      </c>
      <c r="AN148" s="27" t="s">
        <v>1038</v>
      </c>
      <c r="AO148" s="27">
        <v>33.5</v>
      </c>
      <c r="AP148" s="27">
        <v>56</v>
      </c>
    </row>
    <row r="149" spans="2:42" ht="13.5" thickBot="1">
      <c r="B149" s="3">
        <v>514</v>
      </c>
      <c r="C149" s="3">
        <v>86</v>
      </c>
      <c r="D149" s="122">
        <v>-143.55000000000001</v>
      </c>
      <c r="E149" s="4">
        <v>-7.96</v>
      </c>
      <c r="F149" s="5">
        <v>147</v>
      </c>
      <c r="H149" s="19">
        <v>33</v>
      </c>
      <c r="J149" s="5">
        <v>54</v>
      </c>
      <c r="L149" s="27" t="s">
        <v>1961</v>
      </c>
      <c r="N149" s="3">
        <v>514</v>
      </c>
      <c r="P149" s="27">
        <v>143.55000000000001</v>
      </c>
      <c r="Q149">
        <v>-1</v>
      </c>
      <c r="R149" s="4">
        <v>-9.1</v>
      </c>
      <c r="S149" s="19" t="s">
        <v>1962</v>
      </c>
      <c r="U149" s="37">
        <v>55</v>
      </c>
      <c r="V149" s="27" t="s">
        <v>1039</v>
      </c>
      <c r="W149" s="27"/>
      <c r="X149" s="27" t="s">
        <v>1040</v>
      </c>
      <c r="Y149" s="27" t="s">
        <v>2582</v>
      </c>
      <c r="Z149" s="27" t="s">
        <v>1041</v>
      </c>
      <c r="AA149" s="27" t="s">
        <v>1042</v>
      </c>
      <c r="AB149" s="27" t="s">
        <v>1043</v>
      </c>
      <c r="AC149" s="27" t="s">
        <v>1044</v>
      </c>
      <c r="AD149" s="27" t="s">
        <v>1045</v>
      </c>
      <c r="AE149" s="27" t="s">
        <v>1044</v>
      </c>
      <c r="AF149" s="27" t="s">
        <v>1045</v>
      </c>
      <c r="AG149" s="27" t="s">
        <v>1046</v>
      </c>
      <c r="AH149" s="27" t="s">
        <v>1047</v>
      </c>
      <c r="AI149" s="27" t="s">
        <v>1048</v>
      </c>
      <c r="AJ149" s="27" t="s">
        <v>1049</v>
      </c>
      <c r="AK149" s="27" t="s">
        <v>1050</v>
      </c>
      <c r="AL149" s="27" t="s">
        <v>1051</v>
      </c>
      <c r="AM149" s="27" t="s">
        <v>1052</v>
      </c>
      <c r="AN149" s="27" t="s">
        <v>1053</v>
      </c>
      <c r="AO149" s="27"/>
      <c r="AP149" s="27">
        <v>55</v>
      </c>
    </row>
    <row r="150" spans="2:42" ht="13.5" thickBot="1">
      <c r="B150" s="3">
        <v>515</v>
      </c>
      <c r="C150" s="3">
        <v>86.5</v>
      </c>
      <c r="D150" s="122">
        <v>-143.4</v>
      </c>
      <c r="E150" s="4">
        <v>-7.95</v>
      </c>
      <c r="F150" s="5">
        <v>148</v>
      </c>
      <c r="G150">
        <v>-9.6999999999999993</v>
      </c>
      <c r="H150" s="19">
        <v>32.5</v>
      </c>
      <c r="I150">
        <v>120</v>
      </c>
      <c r="J150" s="5">
        <v>53</v>
      </c>
      <c r="L150" s="27" t="s">
        <v>1963</v>
      </c>
      <c r="N150" s="3">
        <v>515</v>
      </c>
      <c r="P150" s="27">
        <v>143.4</v>
      </c>
      <c r="Q150">
        <v>-1</v>
      </c>
      <c r="R150" s="4">
        <v>-9.07</v>
      </c>
      <c r="S150" s="19" t="s">
        <v>1964</v>
      </c>
      <c r="U150" s="37">
        <v>54</v>
      </c>
      <c r="V150" s="27" t="s">
        <v>49</v>
      </c>
      <c r="W150" s="27"/>
      <c r="X150" s="27" t="s">
        <v>1054</v>
      </c>
      <c r="Y150" s="27"/>
      <c r="Z150" s="27" t="s">
        <v>1055</v>
      </c>
      <c r="AA150" s="27" t="s">
        <v>1056</v>
      </c>
      <c r="AB150" s="27" t="s">
        <v>1057</v>
      </c>
      <c r="AC150" s="27" t="s">
        <v>1058</v>
      </c>
      <c r="AD150" s="27" t="s">
        <v>1059</v>
      </c>
      <c r="AE150" s="27" t="s">
        <v>1058</v>
      </c>
      <c r="AF150" s="27" t="s">
        <v>1059</v>
      </c>
      <c r="AG150" s="27" t="s">
        <v>1060</v>
      </c>
      <c r="AH150" s="27" t="s">
        <v>2815</v>
      </c>
      <c r="AI150" s="27"/>
      <c r="AJ150" s="27" t="s">
        <v>1061</v>
      </c>
      <c r="AK150" s="27" t="s">
        <v>1062</v>
      </c>
      <c r="AL150" s="27" t="s">
        <v>1063</v>
      </c>
      <c r="AM150" s="27" t="s">
        <v>716</v>
      </c>
      <c r="AN150" s="27" t="s">
        <v>1064</v>
      </c>
      <c r="AO150" s="27">
        <v>33</v>
      </c>
      <c r="AP150" s="27">
        <v>54</v>
      </c>
    </row>
    <row r="151" spans="2:42" ht="13.5" thickBot="1">
      <c r="B151" s="3">
        <v>516</v>
      </c>
      <c r="C151" s="3">
        <v>87</v>
      </c>
      <c r="D151" s="122">
        <v>-143.25</v>
      </c>
      <c r="E151" s="4">
        <v>-7.94</v>
      </c>
      <c r="F151" s="5">
        <v>149</v>
      </c>
      <c r="H151" s="19">
        <v>32</v>
      </c>
      <c r="J151" s="5">
        <v>52</v>
      </c>
      <c r="L151" s="27" t="s">
        <v>1965</v>
      </c>
      <c r="N151" s="3">
        <v>516</v>
      </c>
      <c r="P151" s="27">
        <v>143.25</v>
      </c>
      <c r="Q151">
        <v>-1</v>
      </c>
      <c r="R151" s="4">
        <v>-9.0399999999999991</v>
      </c>
      <c r="S151" s="19" t="s">
        <v>1966</v>
      </c>
      <c r="U151" s="37">
        <v>53</v>
      </c>
      <c r="V151" s="27" t="s">
        <v>2811</v>
      </c>
      <c r="W151" s="27" t="s">
        <v>1065</v>
      </c>
      <c r="X151" s="27" t="s">
        <v>2611</v>
      </c>
      <c r="Y151" s="27" t="s">
        <v>2612</v>
      </c>
      <c r="Z151" s="27" t="s">
        <v>1066</v>
      </c>
      <c r="AA151" s="27" t="s">
        <v>1067</v>
      </c>
      <c r="AB151" s="27" t="s">
        <v>1068</v>
      </c>
      <c r="AC151" s="27" t="s">
        <v>1069</v>
      </c>
      <c r="AD151" s="27" t="s">
        <v>1070</v>
      </c>
      <c r="AE151" s="27" t="s">
        <v>1069</v>
      </c>
      <c r="AF151" s="27" t="s">
        <v>1070</v>
      </c>
      <c r="AG151" s="27" t="s">
        <v>1071</v>
      </c>
      <c r="AH151" s="27" t="s">
        <v>1072</v>
      </c>
      <c r="AI151" s="27" t="s">
        <v>1073</v>
      </c>
      <c r="AJ151" s="27" t="s">
        <v>1074</v>
      </c>
      <c r="AK151" s="27" t="s">
        <v>1075</v>
      </c>
      <c r="AL151" s="27" t="s">
        <v>1076</v>
      </c>
      <c r="AM151" s="27" t="s">
        <v>696</v>
      </c>
      <c r="AN151" s="27" t="s">
        <v>1077</v>
      </c>
      <c r="AO151" s="27">
        <v>32.5</v>
      </c>
      <c r="AP151" s="27">
        <v>53</v>
      </c>
    </row>
    <row r="152" spans="2:42" ht="13.5" thickBot="1">
      <c r="B152" s="3">
        <v>517</v>
      </c>
      <c r="C152" s="3">
        <v>87.5</v>
      </c>
      <c r="D152" s="122">
        <v>-143.1</v>
      </c>
      <c r="E152" s="4">
        <v>-7.93</v>
      </c>
      <c r="F152" s="5">
        <v>150</v>
      </c>
      <c r="H152" s="19">
        <v>31.5</v>
      </c>
      <c r="I152">
        <v>119</v>
      </c>
      <c r="J152" s="5">
        <v>51</v>
      </c>
      <c r="L152" s="27" t="s">
        <v>1967</v>
      </c>
      <c r="N152" s="3">
        <v>517</v>
      </c>
      <c r="P152" s="27">
        <v>143.1</v>
      </c>
      <c r="Q152">
        <v>-1</v>
      </c>
      <c r="R152" s="4">
        <v>-9.01</v>
      </c>
      <c r="S152" s="19" t="s">
        <v>1968</v>
      </c>
      <c r="U152" s="37">
        <v>52</v>
      </c>
      <c r="V152" s="27" t="s">
        <v>1078</v>
      </c>
      <c r="W152" s="27"/>
      <c r="X152" s="27" t="s">
        <v>1079</v>
      </c>
      <c r="Y152" s="27"/>
      <c r="Z152" s="27" t="s">
        <v>1080</v>
      </c>
      <c r="AA152" s="27" t="s">
        <v>1081</v>
      </c>
      <c r="AB152" s="27" t="s">
        <v>1082</v>
      </c>
      <c r="AC152" s="27" t="s">
        <v>1083</v>
      </c>
      <c r="AD152" s="27" t="s">
        <v>1084</v>
      </c>
      <c r="AE152" s="27" t="s">
        <v>1083</v>
      </c>
      <c r="AF152" s="27" t="s">
        <v>1084</v>
      </c>
      <c r="AG152" s="27" t="s">
        <v>1085</v>
      </c>
      <c r="AH152" s="27" t="s">
        <v>1086</v>
      </c>
      <c r="AI152" s="27"/>
      <c r="AJ152" s="27" t="s">
        <v>1087</v>
      </c>
      <c r="AK152" s="27" t="s">
        <v>1088</v>
      </c>
      <c r="AL152" s="27" t="s">
        <v>1089</v>
      </c>
      <c r="AM152" s="27" t="s">
        <v>674</v>
      </c>
      <c r="AN152" s="27" t="s">
        <v>1090</v>
      </c>
      <c r="AO152" s="27">
        <v>32</v>
      </c>
      <c r="AP152" s="27">
        <v>52</v>
      </c>
    </row>
    <row r="153" spans="2:42" ht="13.5" thickBot="1">
      <c r="B153" s="3">
        <v>519</v>
      </c>
      <c r="C153" s="3">
        <v>88</v>
      </c>
      <c r="D153" s="122">
        <v>-142.80000000000001</v>
      </c>
      <c r="E153" s="4">
        <v>-7.91</v>
      </c>
      <c r="F153" s="5">
        <v>151</v>
      </c>
      <c r="G153">
        <v>-9.8000000000000007</v>
      </c>
      <c r="H153" s="19"/>
      <c r="J153" s="5">
        <v>50</v>
      </c>
      <c r="L153" s="27" t="s">
        <v>1969</v>
      </c>
      <c r="N153" s="3">
        <v>518</v>
      </c>
      <c r="P153" s="27">
        <v>142.94999999999999</v>
      </c>
      <c r="Q153">
        <v>-1</v>
      </c>
      <c r="R153" s="4">
        <v>-8.98</v>
      </c>
      <c r="S153" s="19"/>
      <c r="U153" s="37">
        <v>51</v>
      </c>
      <c r="V153" s="27" t="s">
        <v>1091</v>
      </c>
      <c r="W153" s="27"/>
      <c r="X153" s="27" t="s">
        <v>2656</v>
      </c>
      <c r="Y153" s="27" t="s">
        <v>2627</v>
      </c>
      <c r="Z153" s="27" t="s">
        <v>1092</v>
      </c>
      <c r="AA153" s="27" t="s">
        <v>753</v>
      </c>
      <c r="AB153" s="27" t="s">
        <v>1093</v>
      </c>
      <c r="AC153" s="27" t="s">
        <v>1094</v>
      </c>
      <c r="AD153" s="27" t="s">
        <v>1095</v>
      </c>
      <c r="AE153" s="27" t="s">
        <v>1094</v>
      </c>
      <c r="AF153" s="27" t="s">
        <v>1095</v>
      </c>
      <c r="AG153" s="27" t="s">
        <v>1096</v>
      </c>
      <c r="AH153" s="27" t="s">
        <v>1097</v>
      </c>
      <c r="AI153" s="27" t="s">
        <v>1098</v>
      </c>
      <c r="AJ153" s="27" t="s">
        <v>1099</v>
      </c>
      <c r="AK153" s="27" t="s">
        <v>1100</v>
      </c>
      <c r="AL153" s="27" t="s">
        <v>944</v>
      </c>
      <c r="AM153" s="27" t="s">
        <v>652</v>
      </c>
      <c r="AN153" s="27" t="s">
        <v>1101</v>
      </c>
      <c r="AO153" s="27">
        <v>31.5</v>
      </c>
      <c r="AP153" s="27">
        <v>51</v>
      </c>
    </row>
    <row r="154" spans="2:42" ht="13.5" thickBot="1">
      <c r="B154" s="3">
        <v>518</v>
      </c>
      <c r="C154" s="3">
        <v>88.5</v>
      </c>
      <c r="D154" s="122">
        <v>-142.94999999999999</v>
      </c>
      <c r="E154" s="4">
        <v>-7.92</v>
      </c>
      <c r="F154" s="5">
        <v>152</v>
      </c>
      <c r="H154" s="19">
        <v>31</v>
      </c>
      <c r="I154">
        <v>118</v>
      </c>
      <c r="J154" s="5">
        <v>49</v>
      </c>
      <c r="L154" s="27" t="s">
        <v>1970</v>
      </c>
      <c r="N154" s="3">
        <v>519</v>
      </c>
      <c r="P154" s="27">
        <v>142.80000000000001</v>
      </c>
      <c r="Q154">
        <v>-1</v>
      </c>
      <c r="R154" s="4">
        <v>-8.9600000000000009</v>
      </c>
      <c r="S154" s="19" t="s">
        <v>1971</v>
      </c>
      <c r="U154" s="37">
        <v>50</v>
      </c>
      <c r="V154" s="27" t="s">
        <v>9</v>
      </c>
      <c r="W154" s="27" t="s">
        <v>1102</v>
      </c>
      <c r="X154" s="27" t="s">
        <v>1103</v>
      </c>
      <c r="Y154" s="27"/>
      <c r="Z154" s="27" t="s">
        <v>1104</v>
      </c>
      <c r="AA154" s="27" t="s">
        <v>1105</v>
      </c>
      <c r="AB154" s="27" t="s">
        <v>1106</v>
      </c>
      <c r="AC154" s="27" t="s">
        <v>1107</v>
      </c>
      <c r="AD154" s="27" t="s">
        <v>1108</v>
      </c>
      <c r="AE154" s="27" t="s">
        <v>1107</v>
      </c>
      <c r="AF154" s="27" t="s">
        <v>1108</v>
      </c>
      <c r="AG154" s="27" t="s">
        <v>1109</v>
      </c>
      <c r="AH154" s="27" t="s">
        <v>1110</v>
      </c>
      <c r="AI154" s="27"/>
      <c r="AJ154" s="27" t="s">
        <v>1111</v>
      </c>
      <c r="AK154" s="27" t="s">
        <v>1112</v>
      </c>
      <c r="AL154" s="27" t="s">
        <v>956</v>
      </c>
      <c r="AM154" s="27" t="s">
        <v>618</v>
      </c>
      <c r="AN154" s="27" t="s">
        <v>1113</v>
      </c>
      <c r="AO154" s="27"/>
      <c r="AP154" s="27">
        <v>50</v>
      </c>
    </row>
    <row r="155" spans="2:42" ht="13.5" thickBot="1">
      <c r="B155" s="3">
        <v>521</v>
      </c>
      <c r="C155" s="3">
        <v>89</v>
      </c>
      <c r="D155" s="122">
        <v>-142.62</v>
      </c>
      <c r="E155" s="4">
        <v>-7.9</v>
      </c>
      <c r="F155" s="5">
        <v>153</v>
      </c>
      <c r="H155" s="19">
        <v>30.5</v>
      </c>
      <c r="J155" s="5">
        <v>48</v>
      </c>
      <c r="L155" s="27" t="s">
        <v>1972</v>
      </c>
      <c r="N155" s="3">
        <v>521</v>
      </c>
      <c r="P155" s="27">
        <v>142.62</v>
      </c>
      <c r="Q155">
        <v>-1</v>
      </c>
      <c r="R155" s="4">
        <v>-8.93</v>
      </c>
      <c r="S155" s="19" t="s">
        <v>1973</v>
      </c>
      <c r="U155" s="37">
        <v>49</v>
      </c>
      <c r="V155" s="27" t="s">
        <v>1114</v>
      </c>
      <c r="W155" s="27"/>
      <c r="X155" s="27" t="s">
        <v>1115</v>
      </c>
      <c r="Y155" s="27" t="s">
        <v>2658</v>
      </c>
      <c r="Z155" s="27" t="s">
        <v>1116</v>
      </c>
      <c r="AA155" s="27" t="s">
        <v>786</v>
      </c>
      <c r="AB155" s="27" t="s">
        <v>1117</v>
      </c>
      <c r="AC155" s="27" t="s">
        <v>1118</v>
      </c>
      <c r="AD155" s="27" t="s">
        <v>1119</v>
      </c>
      <c r="AE155" s="27" t="s">
        <v>1118</v>
      </c>
      <c r="AF155" s="27" t="s">
        <v>1119</v>
      </c>
      <c r="AG155" s="27" t="s">
        <v>1120</v>
      </c>
      <c r="AH155" s="27" t="s">
        <v>2729</v>
      </c>
      <c r="AI155" s="27" t="s">
        <v>1121</v>
      </c>
      <c r="AJ155" s="27" t="s">
        <v>1122</v>
      </c>
      <c r="AK155" s="27" t="s">
        <v>1123</v>
      </c>
      <c r="AL155" s="27" t="s">
        <v>1124</v>
      </c>
      <c r="AM155" s="27" t="s">
        <v>1125</v>
      </c>
      <c r="AN155" s="27" t="s">
        <v>1094</v>
      </c>
      <c r="AO155" s="27">
        <v>31</v>
      </c>
      <c r="AP155" s="27">
        <v>49</v>
      </c>
    </row>
    <row r="156" spans="2:42" ht="13.5" thickBot="1">
      <c r="B156" s="3">
        <v>524</v>
      </c>
      <c r="C156" s="3">
        <v>89.5</v>
      </c>
      <c r="D156" s="122">
        <v>-142.34</v>
      </c>
      <c r="E156" s="4">
        <v>-7.89</v>
      </c>
      <c r="F156" s="5">
        <v>154</v>
      </c>
      <c r="G156">
        <v>-9.9</v>
      </c>
      <c r="H156" s="19">
        <v>30</v>
      </c>
      <c r="I156">
        <v>117</v>
      </c>
      <c r="J156" s="5">
        <v>47</v>
      </c>
      <c r="L156" s="27" t="s">
        <v>1974</v>
      </c>
      <c r="N156" s="3">
        <v>524</v>
      </c>
      <c r="P156" s="27">
        <v>142.34</v>
      </c>
      <c r="Q156">
        <v>-1</v>
      </c>
      <c r="R156" s="4">
        <v>-8.9</v>
      </c>
      <c r="S156" s="19" t="s">
        <v>1975</v>
      </c>
      <c r="U156" s="37">
        <v>48</v>
      </c>
      <c r="V156" s="27" t="s">
        <v>2768</v>
      </c>
      <c r="W156" s="27"/>
      <c r="X156" s="27" t="s">
        <v>1126</v>
      </c>
      <c r="Y156" s="27"/>
      <c r="Z156" s="27" t="s">
        <v>1127</v>
      </c>
      <c r="AA156" s="27" t="s">
        <v>1128</v>
      </c>
      <c r="AB156" s="27" t="s">
        <v>1129</v>
      </c>
      <c r="AC156" s="27" t="s">
        <v>1130</v>
      </c>
      <c r="AD156" s="27" t="s">
        <v>1131</v>
      </c>
      <c r="AE156" s="27" t="s">
        <v>1130</v>
      </c>
      <c r="AF156" s="27" t="s">
        <v>1131</v>
      </c>
      <c r="AG156" s="27" t="s">
        <v>1132</v>
      </c>
      <c r="AH156" s="27" t="s">
        <v>1133</v>
      </c>
      <c r="AI156" s="27"/>
      <c r="AJ156" s="27" t="s">
        <v>1134</v>
      </c>
      <c r="AK156" s="27" t="s">
        <v>1135</v>
      </c>
      <c r="AL156" s="27" t="s">
        <v>1136</v>
      </c>
      <c r="AM156" s="27" t="s">
        <v>1137</v>
      </c>
      <c r="AN156" s="27" t="s">
        <v>1138</v>
      </c>
      <c r="AO156" s="27">
        <v>30.5</v>
      </c>
      <c r="AP156" s="27">
        <v>48</v>
      </c>
    </row>
    <row r="157" spans="2:42" ht="13.5" thickBot="1">
      <c r="B157" s="3">
        <v>527</v>
      </c>
      <c r="C157" s="3">
        <v>90</v>
      </c>
      <c r="D157" s="122">
        <v>-142.06</v>
      </c>
      <c r="E157" s="4">
        <v>-7.88</v>
      </c>
      <c r="F157" s="5">
        <v>155</v>
      </c>
      <c r="H157" s="19"/>
      <c r="J157" s="5">
        <v>46</v>
      </c>
      <c r="L157" s="27" t="s">
        <v>1976</v>
      </c>
      <c r="N157" s="3">
        <v>527</v>
      </c>
      <c r="P157" s="27">
        <v>142.06</v>
      </c>
      <c r="Q157">
        <v>-1</v>
      </c>
      <c r="R157" s="4">
        <v>-8.8699999999999992</v>
      </c>
      <c r="S157" s="19"/>
      <c r="U157" s="37">
        <v>47</v>
      </c>
      <c r="V157" s="27" t="s">
        <v>1139</v>
      </c>
      <c r="W157" s="27" t="s">
        <v>1140</v>
      </c>
      <c r="X157" s="27" t="s">
        <v>2689</v>
      </c>
      <c r="Y157" s="27" t="s">
        <v>2690</v>
      </c>
      <c r="Z157" s="27" t="s">
        <v>1141</v>
      </c>
      <c r="AA157" s="27" t="s">
        <v>1142</v>
      </c>
      <c r="AB157" s="27" t="s">
        <v>1143</v>
      </c>
      <c r="AC157" s="27" t="s">
        <v>1144</v>
      </c>
      <c r="AD157" s="27" t="s">
        <v>1145</v>
      </c>
      <c r="AE157" s="27" t="s">
        <v>1144</v>
      </c>
      <c r="AF157" s="27" t="s">
        <v>1145</v>
      </c>
      <c r="AG157" s="27" t="s">
        <v>1146</v>
      </c>
      <c r="AH157" s="27" t="s">
        <v>1147</v>
      </c>
      <c r="AI157" s="27" t="s">
        <v>1148</v>
      </c>
      <c r="AJ157" s="27" t="s">
        <v>1149</v>
      </c>
      <c r="AK157" s="27" t="s">
        <v>1150</v>
      </c>
      <c r="AL157" s="27" t="s">
        <v>1002</v>
      </c>
      <c r="AM157" s="27" t="s">
        <v>443</v>
      </c>
      <c r="AN157" s="27" t="s">
        <v>1151</v>
      </c>
      <c r="AO157" s="27">
        <v>30</v>
      </c>
      <c r="AP157" s="27">
        <v>47</v>
      </c>
    </row>
    <row r="158" spans="2:42" ht="13.5" thickBot="1">
      <c r="B158" s="3">
        <v>530</v>
      </c>
      <c r="C158" s="3">
        <v>90.5</v>
      </c>
      <c r="D158" s="122">
        <v>-141.78</v>
      </c>
      <c r="E158" s="4">
        <v>-7.87</v>
      </c>
      <c r="F158" s="5">
        <v>156</v>
      </c>
      <c r="H158" s="19">
        <v>29.5</v>
      </c>
      <c r="I158">
        <v>115.99999999999999</v>
      </c>
      <c r="J158" s="5">
        <v>45</v>
      </c>
      <c r="L158" s="27" t="s">
        <v>1977</v>
      </c>
      <c r="N158" s="3">
        <v>530</v>
      </c>
      <c r="P158" s="27">
        <v>141.78</v>
      </c>
      <c r="Q158">
        <v>-1</v>
      </c>
      <c r="R158" s="4">
        <v>-8.84</v>
      </c>
      <c r="S158" s="19" t="s">
        <v>1978</v>
      </c>
      <c r="U158" s="37">
        <v>46</v>
      </c>
      <c r="V158" s="27" t="s">
        <v>2840</v>
      </c>
      <c r="W158" s="27"/>
      <c r="X158" s="27" t="s">
        <v>1152</v>
      </c>
      <c r="Y158" s="27"/>
      <c r="Z158" s="27" t="s">
        <v>1153</v>
      </c>
      <c r="AA158" s="27" t="s">
        <v>836</v>
      </c>
      <c r="AB158" s="27" t="s">
        <v>1154</v>
      </c>
      <c r="AC158" s="27" t="s">
        <v>1155</v>
      </c>
      <c r="AD158" s="27" t="s">
        <v>1156</v>
      </c>
      <c r="AE158" s="27" t="s">
        <v>1155</v>
      </c>
      <c r="AF158" s="27" t="s">
        <v>1156</v>
      </c>
      <c r="AG158" s="27" t="s">
        <v>1157</v>
      </c>
      <c r="AH158" s="27" t="s">
        <v>1158</v>
      </c>
      <c r="AI158" s="27"/>
      <c r="AJ158" s="27" t="s">
        <v>1159</v>
      </c>
      <c r="AK158" s="27" t="s">
        <v>1160</v>
      </c>
      <c r="AL158" s="27" t="s">
        <v>1161</v>
      </c>
      <c r="AM158" s="27" t="s">
        <v>299</v>
      </c>
      <c r="AN158" s="27" t="s">
        <v>1162</v>
      </c>
      <c r="AO158" s="27"/>
      <c r="AP158" s="27">
        <v>46</v>
      </c>
    </row>
    <row r="159" spans="2:42" ht="13.5" thickBot="1">
      <c r="B159" s="3">
        <v>532</v>
      </c>
      <c r="C159" s="3">
        <v>91</v>
      </c>
      <c r="D159" s="122">
        <v>-141.5</v>
      </c>
      <c r="E159" s="4">
        <v>-7.86</v>
      </c>
      <c r="F159" s="5">
        <v>157</v>
      </c>
      <c r="G159">
        <v>-10</v>
      </c>
      <c r="H159" s="19">
        <v>29</v>
      </c>
      <c r="J159" s="5">
        <v>44</v>
      </c>
      <c r="L159" s="27" t="s">
        <v>1979</v>
      </c>
      <c r="N159" s="3">
        <v>532</v>
      </c>
      <c r="P159" s="27">
        <v>141.5</v>
      </c>
      <c r="Q159">
        <v>-1</v>
      </c>
      <c r="R159" s="4">
        <v>-8.81</v>
      </c>
      <c r="S159" s="19" t="s">
        <v>1980</v>
      </c>
      <c r="U159" s="37">
        <v>45</v>
      </c>
      <c r="V159" s="27" t="s">
        <v>2725</v>
      </c>
      <c r="W159" s="27"/>
      <c r="X159" s="27" t="s">
        <v>2749</v>
      </c>
      <c r="Y159" s="27" t="s">
        <v>2707</v>
      </c>
      <c r="Z159" s="27" t="s">
        <v>1163</v>
      </c>
      <c r="AA159" s="27" t="s">
        <v>1164</v>
      </c>
      <c r="AB159" s="27" t="s">
        <v>1165</v>
      </c>
      <c r="AC159" s="27" t="s">
        <v>1166</v>
      </c>
      <c r="AD159" s="27" t="s">
        <v>1167</v>
      </c>
      <c r="AE159" s="27" t="s">
        <v>1166</v>
      </c>
      <c r="AF159" s="27" t="s">
        <v>1167</v>
      </c>
      <c r="AG159" s="27" t="s">
        <v>1168</v>
      </c>
      <c r="AH159" s="27" t="s">
        <v>1169</v>
      </c>
      <c r="AI159" s="27" t="s">
        <v>1170</v>
      </c>
      <c r="AJ159" s="27" t="s">
        <v>1171</v>
      </c>
      <c r="AK159" s="27" t="s">
        <v>1172</v>
      </c>
      <c r="AL159" s="27" t="s">
        <v>1173</v>
      </c>
      <c r="AM159" s="27" t="s">
        <v>298</v>
      </c>
      <c r="AN159" s="27" t="s">
        <v>1174</v>
      </c>
      <c r="AO159" s="27">
        <v>29.5</v>
      </c>
      <c r="AP159" s="27">
        <v>45</v>
      </c>
    </row>
    <row r="160" spans="2:42" ht="13.5" thickBot="1">
      <c r="B160" s="3">
        <v>534</v>
      </c>
      <c r="C160" s="3">
        <v>91.5</v>
      </c>
      <c r="D160" s="122">
        <v>-141.22</v>
      </c>
      <c r="E160" s="4">
        <v>-7.85</v>
      </c>
      <c r="F160" s="5">
        <v>158</v>
      </c>
      <c r="H160" s="19">
        <v>28.5</v>
      </c>
      <c r="I160">
        <v>114.99999999999999</v>
      </c>
      <c r="J160" s="5">
        <v>43</v>
      </c>
      <c r="L160" s="27" t="s">
        <v>1981</v>
      </c>
      <c r="N160" s="3">
        <v>534</v>
      </c>
      <c r="P160" s="27">
        <v>141.22</v>
      </c>
      <c r="Q160">
        <v>-1</v>
      </c>
      <c r="R160" s="4">
        <v>-8.7799999999999994</v>
      </c>
      <c r="S160" s="19" t="s">
        <v>1982</v>
      </c>
      <c r="U160" s="37">
        <v>44</v>
      </c>
      <c r="V160" s="27" t="s">
        <v>1175</v>
      </c>
      <c r="W160" s="27" t="s">
        <v>1176</v>
      </c>
      <c r="X160" s="27" t="s">
        <v>1177</v>
      </c>
      <c r="Y160" s="27"/>
      <c r="Z160" s="27" t="s">
        <v>870</v>
      </c>
      <c r="AA160" s="27" t="s">
        <v>871</v>
      </c>
      <c r="AB160" s="27" t="s">
        <v>1178</v>
      </c>
      <c r="AC160" s="27" t="s">
        <v>1179</v>
      </c>
      <c r="AD160" s="27" t="s">
        <v>1180</v>
      </c>
      <c r="AE160" s="27" t="s">
        <v>1179</v>
      </c>
      <c r="AF160" s="27" t="s">
        <v>1180</v>
      </c>
      <c r="AG160" s="27" t="s">
        <v>1181</v>
      </c>
      <c r="AH160" s="27" t="s">
        <v>2682</v>
      </c>
      <c r="AI160" s="27"/>
      <c r="AJ160" s="27" t="s">
        <v>1182</v>
      </c>
      <c r="AK160" s="27" t="s">
        <v>1183</v>
      </c>
      <c r="AL160" s="27" t="s">
        <v>1050</v>
      </c>
      <c r="AM160" s="27" t="s">
        <v>217</v>
      </c>
      <c r="AN160" s="27" t="s">
        <v>997</v>
      </c>
      <c r="AO160" s="27">
        <v>29</v>
      </c>
      <c r="AP160" s="27">
        <v>44</v>
      </c>
    </row>
    <row r="161" spans="2:42" ht="13.5" thickBot="1">
      <c r="B161" s="3">
        <v>536</v>
      </c>
      <c r="C161" s="3">
        <v>92</v>
      </c>
      <c r="D161" s="122">
        <v>-140.94</v>
      </c>
      <c r="E161" s="4">
        <v>-7.84</v>
      </c>
      <c r="F161" s="5">
        <v>159</v>
      </c>
      <c r="H161" s="19"/>
      <c r="J161" s="5">
        <v>42</v>
      </c>
      <c r="L161" s="27" t="s">
        <v>1983</v>
      </c>
      <c r="N161" s="3">
        <v>536</v>
      </c>
      <c r="P161" s="27">
        <v>140.94</v>
      </c>
      <c r="Q161">
        <v>-1</v>
      </c>
      <c r="R161" s="4">
        <v>-8.75</v>
      </c>
      <c r="S161" s="19"/>
      <c r="U161" s="37">
        <v>43</v>
      </c>
      <c r="V161" s="27" t="s">
        <v>1184</v>
      </c>
      <c r="W161" s="27"/>
      <c r="X161" s="27" t="s">
        <v>2821</v>
      </c>
      <c r="Y161" s="27" t="s">
        <v>2736</v>
      </c>
      <c r="Z161" s="27" t="s">
        <v>1185</v>
      </c>
      <c r="AA161" s="27" t="s">
        <v>883</v>
      </c>
      <c r="AB161" s="27" t="s">
        <v>1186</v>
      </c>
      <c r="AC161" s="27" t="s">
        <v>1064</v>
      </c>
      <c r="AD161" s="27" t="s">
        <v>1187</v>
      </c>
      <c r="AE161" s="27" t="s">
        <v>1064</v>
      </c>
      <c r="AF161" s="27" t="s">
        <v>1187</v>
      </c>
      <c r="AG161" s="27" t="s">
        <v>1188</v>
      </c>
      <c r="AH161" s="27" t="s">
        <v>1189</v>
      </c>
      <c r="AI161" s="27" t="s">
        <v>1190</v>
      </c>
      <c r="AJ161" s="27" t="s">
        <v>1191</v>
      </c>
      <c r="AK161" s="27" t="s">
        <v>1192</v>
      </c>
      <c r="AL161" s="27" t="s">
        <v>1193</v>
      </c>
      <c r="AM161" s="27" t="s">
        <v>135</v>
      </c>
      <c r="AN161" s="27" t="s">
        <v>1194</v>
      </c>
      <c r="AO161" s="27">
        <v>28.5</v>
      </c>
      <c r="AP161" s="27">
        <v>43</v>
      </c>
    </row>
    <row r="162" spans="2:42" ht="13.5" thickBot="1">
      <c r="B162" s="3">
        <v>538</v>
      </c>
      <c r="C162" s="3">
        <v>92.5</v>
      </c>
      <c r="D162" s="122">
        <v>-140.66</v>
      </c>
      <c r="E162" s="4">
        <v>-7.83</v>
      </c>
      <c r="F162" s="5">
        <v>160</v>
      </c>
      <c r="G162">
        <v>-10.1</v>
      </c>
      <c r="H162" s="19">
        <v>28</v>
      </c>
      <c r="I162">
        <v>113.99999999999999</v>
      </c>
      <c r="J162" s="5">
        <v>41</v>
      </c>
      <c r="L162" s="27" t="s">
        <v>1984</v>
      </c>
      <c r="N162" s="3">
        <v>538</v>
      </c>
      <c r="P162" s="27">
        <v>140.66</v>
      </c>
      <c r="Q162">
        <v>-1</v>
      </c>
      <c r="R162" s="4">
        <v>-8.7200000000000006</v>
      </c>
      <c r="S162" s="19" t="s">
        <v>1985</v>
      </c>
      <c r="U162" s="37">
        <v>42</v>
      </c>
      <c r="V162" s="27" t="s">
        <v>1195</v>
      </c>
      <c r="W162" s="27"/>
      <c r="X162" s="27" t="s">
        <v>1196</v>
      </c>
      <c r="Y162" s="27"/>
      <c r="Z162" s="27" t="s">
        <v>1197</v>
      </c>
      <c r="AA162" s="27" t="s">
        <v>907</v>
      </c>
      <c r="AB162" s="27" t="s">
        <v>1198</v>
      </c>
      <c r="AC162" s="27" t="s">
        <v>1199</v>
      </c>
      <c r="AD162" s="27" t="s">
        <v>1200</v>
      </c>
      <c r="AE162" s="27" t="s">
        <v>1199</v>
      </c>
      <c r="AF162" s="27" t="s">
        <v>1200</v>
      </c>
      <c r="AG162" s="27" t="s">
        <v>1201</v>
      </c>
      <c r="AH162" s="27" t="s">
        <v>1202</v>
      </c>
      <c r="AI162" s="27"/>
      <c r="AJ162" s="27" t="s">
        <v>1203</v>
      </c>
      <c r="AK162" s="27" t="s">
        <v>1204</v>
      </c>
      <c r="AL162" s="27" t="s">
        <v>1205</v>
      </c>
      <c r="AM162" s="27" t="s">
        <v>56</v>
      </c>
      <c r="AN162" s="27" t="s">
        <v>1206</v>
      </c>
      <c r="AO162" s="27"/>
      <c r="AP162" s="27">
        <v>42</v>
      </c>
    </row>
    <row r="163" spans="2:42" ht="13.5" thickBot="1">
      <c r="B163" s="3">
        <v>539</v>
      </c>
      <c r="C163" s="3">
        <v>93</v>
      </c>
      <c r="D163" s="122">
        <v>-140.38</v>
      </c>
      <c r="E163" s="4">
        <v>-7.82</v>
      </c>
      <c r="F163" s="5">
        <v>161</v>
      </c>
      <c r="H163" s="19">
        <v>27.5</v>
      </c>
      <c r="J163" s="5">
        <v>40</v>
      </c>
      <c r="L163" s="27" t="s">
        <v>1986</v>
      </c>
      <c r="N163" s="3">
        <v>539</v>
      </c>
      <c r="P163" s="27">
        <v>140.38</v>
      </c>
      <c r="Q163">
        <v>-1</v>
      </c>
      <c r="R163" s="4">
        <v>-8.69</v>
      </c>
      <c r="S163" s="19" t="s">
        <v>1987</v>
      </c>
      <c r="U163" s="37">
        <v>41</v>
      </c>
      <c r="V163" s="27" t="s">
        <v>1207</v>
      </c>
      <c r="W163" s="27" t="s">
        <v>1208</v>
      </c>
      <c r="X163" s="27" t="s">
        <v>2793</v>
      </c>
      <c r="Y163" s="27" t="s">
        <v>2823</v>
      </c>
      <c r="Z163" s="27" t="s">
        <v>1209</v>
      </c>
      <c r="AA163" s="27" t="s">
        <v>919</v>
      </c>
      <c r="AB163" s="27" t="s">
        <v>1210</v>
      </c>
      <c r="AC163" s="27" t="s">
        <v>625</v>
      </c>
      <c r="AD163" s="27" t="s">
        <v>1211</v>
      </c>
      <c r="AE163" s="27" t="s">
        <v>625</v>
      </c>
      <c r="AF163" s="27" t="s">
        <v>1211</v>
      </c>
      <c r="AG163" s="27" t="s">
        <v>1212</v>
      </c>
      <c r="AH163" s="27" t="s">
        <v>1213</v>
      </c>
      <c r="AI163" s="27" t="s">
        <v>1214</v>
      </c>
      <c r="AJ163" s="27" t="s">
        <v>1215</v>
      </c>
      <c r="AK163" s="27" t="s">
        <v>1216</v>
      </c>
      <c r="AL163" s="27" t="s">
        <v>1100</v>
      </c>
      <c r="AM163" s="27" t="s">
        <v>2764</v>
      </c>
      <c r="AN163" s="27" t="s">
        <v>1217</v>
      </c>
      <c r="AO163" s="27">
        <v>28</v>
      </c>
      <c r="AP163" s="27">
        <v>41</v>
      </c>
    </row>
    <row r="164" spans="2:42" ht="13.5" thickBot="1">
      <c r="B164" s="3">
        <v>541</v>
      </c>
      <c r="C164" s="3">
        <v>93.5</v>
      </c>
      <c r="D164" s="122">
        <v>-140.1</v>
      </c>
      <c r="E164" s="4">
        <v>-7.81</v>
      </c>
      <c r="F164" s="5">
        <v>162</v>
      </c>
      <c r="H164" s="19">
        <v>27</v>
      </c>
      <c r="I164">
        <v>112.99999999999999</v>
      </c>
      <c r="J164" s="5">
        <v>39</v>
      </c>
      <c r="L164" s="27" t="s">
        <v>1988</v>
      </c>
      <c r="N164" s="3">
        <v>541</v>
      </c>
      <c r="P164" s="27">
        <v>140.1</v>
      </c>
      <c r="Q164">
        <v>-1</v>
      </c>
      <c r="R164" s="4">
        <v>-8.67</v>
      </c>
      <c r="S164" s="19" t="s">
        <v>1989</v>
      </c>
      <c r="U164" s="37">
        <v>40</v>
      </c>
      <c r="V164" s="27" t="s">
        <v>1218</v>
      </c>
      <c r="W164" s="27"/>
      <c r="X164" s="27" t="s">
        <v>2822</v>
      </c>
      <c r="Y164" s="27"/>
      <c r="Z164" s="27" t="s">
        <v>1219</v>
      </c>
      <c r="AA164" s="27" t="s">
        <v>1220</v>
      </c>
      <c r="AB164" s="27" t="s">
        <v>1221</v>
      </c>
      <c r="AC164" s="27" t="s">
        <v>1222</v>
      </c>
      <c r="AD164" s="27" t="s">
        <v>1223</v>
      </c>
      <c r="AE164" s="27" t="s">
        <v>1222</v>
      </c>
      <c r="AF164" s="27" t="s">
        <v>1223</v>
      </c>
      <c r="AG164" s="27" t="s">
        <v>1224</v>
      </c>
      <c r="AH164" s="27" t="s">
        <v>1225</v>
      </c>
      <c r="AI164" s="27"/>
      <c r="AJ164" s="27" t="s">
        <v>1226</v>
      </c>
      <c r="AK164" s="27" t="s">
        <v>1227</v>
      </c>
      <c r="AL164" s="27" t="s">
        <v>1228</v>
      </c>
      <c r="AM164" s="27" t="s">
        <v>2778</v>
      </c>
      <c r="AN164" s="27" t="s">
        <v>916</v>
      </c>
      <c r="AO164" s="27">
        <v>27.5</v>
      </c>
      <c r="AP164" s="27">
        <v>40</v>
      </c>
    </row>
    <row r="165" spans="2:42" ht="13.5" thickBot="1">
      <c r="B165" s="3">
        <v>542</v>
      </c>
      <c r="C165" s="3">
        <v>94</v>
      </c>
      <c r="D165" s="122">
        <v>-139.82</v>
      </c>
      <c r="E165" s="4">
        <v>-7.8</v>
      </c>
      <c r="F165" s="5">
        <v>163</v>
      </c>
      <c r="G165">
        <v>-10.199999999999999</v>
      </c>
      <c r="H165" s="19"/>
      <c r="J165" s="5">
        <v>38</v>
      </c>
      <c r="L165" s="27" t="s">
        <v>1990</v>
      </c>
      <c r="N165" s="3">
        <v>542</v>
      </c>
      <c r="P165" s="27">
        <v>139.82</v>
      </c>
      <c r="Q165">
        <v>-1</v>
      </c>
      <c r="R165" s="4">
        <v>-8.64</v>
      </c>
      <c r="S165" s="19"/>
      <c r="U165" s="37">
        <v>39</v>
      </c>
      <c r="V165" s="27" t="s">
        <v>1230</v>
      </c>
      <c r="W165" s="27"/>
      <c r="X165" s="27" t="s">
        <v>2846</v>
      </c>
      <c r="Y165" s="27" t="s">
        <v>4</v>
      </c>
      <c r="Z165" s="27" t="s">
        <v>1231</v>
      </c>
      <c r="AA165" s="27" t="s">
        <v>1232</v>
      </c>
      <c r="AB165" s="27" t="s">
        <v>1233</v>
      </c>
      <c r="AC165" s="27" t="s">
        <v>1234</v>
      </c>
      <c r="AD165" s="27" t="s">
        <v>1235</v>
      </c>
      <c r="AE165" s="27" t="s">
        <v>1236</v>
      </c>
      <c r="AF165" s="27" t="s">
        <v>1235</v>
      </c>
      <c r="AG165" s="27" t="s">
        <v>1237</v>
      </c>
      <c r="AH165" s="27" t="s">
        <v>2636</v>
      </c>
      <c r="AI165" s="27" t="s">
        <v>1238</v>
      </c>
      <c r="AJ165" s="27" t="s">
        <v>1239</v>
      </c>
      <c r="AK165" s="27" t="s">
        <v>1240</v>
      </c>
      <c r="AL165" s="27" t="s">
        <v>1241</v>
      </c>
      <c r="AM165" s="27" t="s">
        <v>1242</v>
      </c>
      <c r="AN165" s="27" t="s">
        <v>1243</v>
      </c>
      <c r="AO165" s="27">
        <v>27</v>
      </c>
      <c r="AP165" s="27">
        <v>39</v>
      </c>
    </row>
    <row r="166" spans="2:42" ht="13.5" thickBot="1">
      <c r="B166" s="3">
        <v>543</v>
      </c>
      <c r="C166" s="3">
        <v>94.5</v>
      </c>
      <c r="D166" s="122">
        <v>-139.54</v>
      </c>
      <c r="E166" s="4">
        <v>-7.79</v>
      </c>
      <c r="F166" s="5">
        <v>164</v>
      </c>
      <c r="H166" s="19">
        <v>26.5</v>
      </c>
      <c r="I166">
        <v>112.00000000000001</v>
      </c>
      <c r="J166" s="5">
        <v>37</v>
      </c>
      <c r="L166" s="27" t="s">
        <v>1991</v>
      </c>
      <c r="N166" s="3">
        <v>543</v>
      </c>
      <c r="P166" s="27">
        <v>139.54</v>
      </c>
      <c r="Q166">
        <v>-1</v>
      </c>
      <c r="R166" s="4">
        <v>-8.61</v>
      </c>
      <c r="S166" s="19" t="s">
        <v>1992</v>
      </c>
      <c r="U166" s="37">
        <v>38</v>
      </c>
      <c r="V166" s="27" t="s">
        <v>1244</v>
      </c>
      <c r="W166" s="27" t="s">
        <v>1245</v>
      </c>
      <c r="X166" s="27" t="s">
        <v>19</v>
      </c>
      <c r="Y166" s="27"/>
      <c r="Z166" s="27" t="s">
        <v>964</v>
      </c>
      <c r="AA166" s="27" t="s">
        <v>965</v>
      </c>
      <c r="AB166" s="27" t="s">
        <v>1246</v>
      </c>
      <c r="AC166" s="27" t="s">
        <v>1247</v>
      </c>
      <c r="AD166" s="27" t="s">
        <v>1248</v>
      </c>
      <c r="AE166" s="27" t="s">
        <v>1249</v>
      </c>
      <c r="AF166" s="27" t="s">
        <v>1248</v>
      </c>
      <c r="AG166" s="27" t="s">
        <v>1250</v>
      </c>
      <c r="AH166" s="27" t="s">
        <v>1251</v>
      </c>
      <c r="AI166" s="27"/>
      <c r="AJ166" s="27" t="s">
        <v>1252</v>
      </c>
      <c r="AK166" s="27" t="s">
        <v>1253</v>
      </c>
      <c r="AL166" s="27" t="s">
        <v>1254</v>
      </c>
      <c r="AM166" s="27" t="s">
        <v>1115</v>
      </c>
      <c r="AN166" s="27" t="s">
        <v>1255</v>
      </c>
      <c r="AO166" s="27"/>
      <c r="AP166" s="27">
        <v>38</v>
      </c>
    </row>
    <row r="167" spans="2:42" ht="13.5" thickBot="1">
      <c r="B167" s="3">
        <v>544</v>
      </c>
      <c r="C167" s="3">
        <v>95</v>
      </c>
      <c r="D167" s="122">
        <v>-139.26</v>
      </c>
      <c r="E167" s="4">
        <v>-7.78</v>
      </c>
      <c r="F167" s="5">
        <v>165</v>
      </c>
      <c r="H167" s="19">
        <v>26</v>
      </c>
      <c r="J167" s="5">
        <v>36</v>
      </c>
      <c r="L167" s="27" t="s">
        <v>1993</v>
      </c>
      <c r="N167" s="3">
        <v>544</v>
      </c>
      <c r="P167" s="27">
        <v>139.26</v>
      </c>
      <c r="Q167">
        <v>-1</v>
      </c>
      <c r="R167" s="4">
        <v>-8.58</v>
      </c>
      <c r="S167" s="19" t="s">
        <v>1994</v>
      </c>
      <c r="U167" s="37">
        <v>37</v>
      </c>
      <c r="V167" s="27" t="s">
        <v>2726</v>
      </c>
      <c r="W167" s="27"/>
      <c r="X167" s="27" t="s">
        <v>57</v>
      </c>
      <c r="Y167" s="27" t="s">
        <v>73</v>
      </c>
      <c r="Z167" s="27" t="s">
        <v>1256</v>
      </c>
      <c r="AA167" s="27" t="s">
        <v>975</v>
      </c>
      <c r="AB167" s="27" t="s">
        <v>1257</v>
      </c>
      <c r="AC167" s="27" t="s">
        <v>1258</v>
      </c>
      <c r="AD167" s="27" t="s">
        <v>1259</v>
      </c>
      <c r="AE167" s="27" t="s">
        <v>570</v>
      </c>
      <c r="AF167" s="27" t="s">
        <v>1260</v>
      </c>
      <c r="AG167" s="27" t="s">
        <v>1261</v>
      </c>
      <c r="AH167" s="27" t="s">
        <v>1262</v>
      </c>
      <c r="AI167" s="27" t="s">
        <v>1263</v>
      </c>
      <c r="AJ167" s="27" t="s">
        <v>1264</v>
      </c>
      <c r="AK167" s="27" t="s">
        <v>1265</v>
      </c>
      <c r="AL167" s="27" t="s">
        <v>1266</v>
      </c>
      <c r="AM167" s="27" t="s">
        <v>1079</v>
      </c>
      <c r="AN167" s="27" t="s">
        <v>1267</v>
      </c>
      <c r="AO167" s="27">
        <v>26.5</v>
      </c>
      <c r="AP167" s="27">
        <v>37</v>
      </c>
    </row>
    <row r="168" spans="2:42" ht="13.5" thickBot="1">
      <c r="B168" s="3">
        <v>545</v>
      </c>
      <c r="C168" s="3">
        <v>95.5</v>
      </c>
      <c r="D168" s="122">
        <v>-138.97999999999999</v>
      </c>
      <c r="E168" s="4">
        <v>-7.77</v>
      </c>
      <c r="F168" s="5">
        <v>166</v>
      </c>
      <c r="G168">
        <v>-10.3</v>
      </c>
      <c r="H168" s="19">
        <v>25.5</v>
      </c>
      <c r="I168">
        <v>111.00000000000001</v>
      </c>
      <c r="J168" s="5">
        <v>35</v>
      </c>
      <c r="L168" s="27" t="s">
        <v>1995</v>
      </c>
      <c r="N168" s="3">
        <v>545</v>
      </c>
      <c r="P168" s="27">
        <v>138.97999999999999</v>
      </c>
      <c r="Q168">
        <v>-1</v>
      </c>
      <c r="R168" s="4">
        <v>-8.56</v>
      </c>
      <c r="S168" s="19" t="s">
        <v>1996</v>
      </c>
      <c r="U168" s="37">
        <v>36</v>
      </c>
      <c r="V168" s="27" t="s">
        <v>1268</v>
      </c>
      <c r="W168" s="27"/>
      <c r="X168" s="27" t="s">
        <v>98</v>
      </c>
      <c r="Y168" s="27"/>
      <c r="Z168" s="27" t="s">
        <v>1269</v>
      </c>
      <c r="AA168" s="27" t="s">
        <v>1270</v>
      </c>
      <c r="AB168" s="27" t="s">
        <v>1271</v>
      </c>
      <c r="AC168" s="27" t="s">
        <v>1272</v>
      </c>
      <c r="AD168" s="27" t="s">
        <v>1273</v>
      </c>
      <c r="AE168" s="27" t="s">
        <v>557</v>
      </c>
      <c r="AF168" s="27" t="s">
        <v>1273</v>
      </c>
      <c r="AG168" s="27" t="s">
        <v>1274</v>
      </c>
      <c r="AH168" s="27" t="s">
        <v>1275</v>
      </c>
      <c r="AI168" s="27"/>
      <c r="AJ168" s="27" t="s">
        <v>1276</v>
      </c>
      <c r="AK168" s="27" t="s">
        <v>1277</v>
      </c>
      <c r="AL168" s="27" t="s">
        <v>1278</v>
      </c>
      <c r="AM168" s="27" t="s">
        <v>1040</v>
      </c>
      <c r="AN168" s="27" t="s">
        <v>979</v>
      </c>
      <c r="AO168" s="27">
        <v>26</v>
      </c>
      <c r="AP168" s="27">
        <v>36</v>
      </c>
    </row>
    <row r="169" spans="2:42" ht="13.5" thickBot="1">
      <c r="B169" s="3">
        <v>546</v>
      </c>
      <c r="C169" s="3"/>
      <c r="D169" s="122">
        <v>-138.74</v>
      </c>
      <c r="E169" s="4">
        <v>-7.76</v>
      </c>
      <c r="F169" s="5">
        <v>167</v>
      </c>
      <c r="H169" s="19">
        <v>25</v>
      </c>
      <c r="J169" s="5">
        <v>34</v>
      </c>
      <c r="L169" s="27" t="s">
        <v>1997</v>
      </c>
      <c r="N169" s="3">
        <v>546</v>
      </c>
      <c r="P169" s="27">
        <v>138.74</v>
      </c>
      <c r="Q169">
        <v>-1</v>
      </c>
      <c r="R169" s="4">
        <v>-8.5299999999999994</v>
      </c>
      <c r="S169" s="19" t="s">
        <v>1998</v>
      </c>
      <c r="U169" s="37">
        <v>35</v>
      </c>
      <c r="V169" s="27" t="s">
        <v>1280</v>
      </c>
      <c r="W169" s="27" t="s">
        <v>1281</v>
      </c>
      <c r="X169" s="27" t="s">
        <v>136</v>
      </c>
      <c r="Y169" s="27" t="s">
        <v>137</v>
      </c>
      <c r="Z169" s="27" t="s">
        <v>1282</v>
      </c>
      <c r="AA169" s="27" t="s">
        <v>1283</v>
      </c>
      <c r="AB169" s="27" t="s">
        <v>1284</v>
      </c>
      <c r="AC169" s="27" t="s">
        <v>1285</v>
      </c>
      <c r="AD169" s="27" t="s">
        <v>1286</v>
      </c>
      <c r="AE169" s="27" t="s">
        <v>550</v>
      </c>
      <c r="AF169" s="27" t="s">
        <v>1286</v>
      </c>
      <c r="AG169" s="27" t="s">
        <v>1287</v>
      </c>
      <c r="AH169" s="27" t="s">
        <v>1288</v>
      </c>
      <c r="AI169" s="27" t="s">
        <v>1289</v>
      </c>
      <c r="AJ169" s="27" t="s">
        <v>1290</v>
      </c>
      <c r="AK169" s="27" t="s">
        <v>1291</v>
      </c>
      <c r="AL169" s="27" t="s">
        <v>1292</v>
      </c>
      <c r="AM169" s="27" t="s">
        <v>2566</v>
      </c>
      <c r="AN169" s="27" t="s">
        <v>809</v>
      </c>
      <c r="AO169" s="27">
        <v>25.5</v>
      </c>
      <c r="AP169" s="27">
        <v>35</v>
      </c>
    </row>
    <row r="170" spans="2:42" ht="13.5" thickBot="1">
      <c r="B170" s="3">
        <v>547</v>
      </c>
      <c r="C170" s="3">
        <v>96</v>
      </c>
      <c r="D170" s="122">
        <v>-138.46</v>
      </c>
      <c r="E170" s="4">
        <v>-7.75</v>
      </c>
      <c r="F170" s="5">
        <v>168</v>
      </c>
      <c r="G170">
        <v>-10.4</v>
      </c>
      <c r="H170" s="19">
        <v>24.5</v>
      </c>
      <c r="I170">
        <v>110.00000000000001</v>
      </c>
      <c r="J170" s="5">
        <v>33</v>
      </c>
      <c r="L170" s="27" t="s">
        <v>1999</v>
      </c>
      <c r="N170" s="3">
        <v>547</v>
      </c>
      <c r="P170" s="27">
        <v>138.46</v>
      </c>
      <c r="Q170">
        <v>-1</v>
      </c>
      <c r="R170" s="4">
        <v>-8.5</v>
      </c>
      <c r="S170" s="19" t="s">
        <v>2000</v>
      </c>
      <c r="U170" s="37">
        <v>34</v>
      </c>
      <c r="V170" s="27" t="s">
        <v>1294</v>
      </c>
      <c r="W170" s="27"/>
      <c r="X170" s="27" t="s">
        <v>178</v>
      </c>
      <c r="Y170" s="27" t="s">
        <v>219</v>
      </c>
      <c r="Z170" s="27" t="s">
        <v>1022</v>
      </c>
      <c r="AA170" s="27" t="s">
        <v>1023</v>
      </c>
      <c r="AB170" s="27" t="s">
        <v>1295</v>
      </c>
      <c r="AC170" s="27" t="s">
        <v>1296</v>
      </c>
      <c r="AD170" s="27" t="s">
        <v>1297</v>
      </c>
      <c r="AE170" s="27" t="s">
        <v>1298</v>
      </c>
      <c r="AF170" s="27" t="s">
        <v>1297</v>
      </c>
      <c r="AG170" s="27" t="s">
        <v>1299</v>
      </c>
      <c r="AH170" s="27" t="s">
        <v>2574</v>
      </c>
      <c r="AI170" s="27"/>
      <c r="AJ170" s="27" t="s">
        <v>1300</v>
      </c>
      <c r="AK170" s="27" t="s">
        <v>1301</v>
      </c>
      <c r="AL170" s="27" t="s">
        <v>1302</v>
      </c>
      <c r="AM170" s="27" t="s">
        <v>1303</v>
      </c>
      <c r="AN170" s="27" t="s">
        <v>1304</v>
      </c>
      <c r="AO170" s="27">
        <v>25</v>
      </c>
      <c r="AP170" s="27">
        <v>34</v>
      </c>
    </row>
    <row r="171" spans="2:42" ht="13.5" thickBot="1">
      <c r="B171" s="3">
        <v>548</v>
      </c>
      <c r="C171" s="3"/>
      <c r="D171" s="122">
        <v>-138.18</v>
      </c>
      <c r="E171" s="4">
        <v>-7.74</v>
      </c>
      <c r="F171" s="5">
        <v>169</v>
      </c>
      <c r="H171" s="19">
        <v>24</v>
      </c>
      <c r="J171" s="5">
        <v>32</v>
      </c>
      <c r="L171" s="27" t="s">
        <v>2001</v>
      </c>
      <c r="N171" s="3">
        <v>548</v>
      </c>
      <c r="P171" s="27">
        <v>138.18</v>
      </c>
      <c r="Q171">
        <v>-1</v>
      </c>
      <c r="R171" s="4">
        <v>-8.49</v>
      </c>
      <c r="S171" s="19" t="s">
        <v>2002</v>
      </c>
      <c r="U171" s="37">
        <v>33</v>
      </c>
      <c r="V171" s="27" t="s">
        <v>1306</v>
      </c>
      <c r="W171" s="27" t="s">
        <v>1307</v>
      </c>
      <c r="X171" s="27" t="s">
        <v>232</v>
      </c>
      <c r="Y171" s="27"/>
      <c r="Z171" s="27" t="s">
        <v>1308</v>
      </c>
      <c r="AA171" s="27" t="s">
        <v>1035</v>
      </c>
      <c r="AB171" s="27" t="s">
        <v>1309</v>
      </c>
      <c r="AC171" s="27" t="s">
        <v>1310</v>
      </c>
      <c r="AD171" s="27" t="s">
        <v>1311</v>
      </c>
      <c r="AE171" s="27" t="s">
        <v>1312</v>
      </c>
      <c r="AF171" s="27" t="s">
        <v>1311</v>
      </c>
      <c r="AG171" s="27" t="s">
        <v>1313</v>
      </c>
      <c r="AH171" s="27" t="s">
        <v>1314</v>
      </c>
      <c r="AI171" s="27" t="s">
        <v>1315</v>
      </c>
      <c r="AJ171" s="27" t="s">
        <v>1316</v>
      </c>
      <c r="AK171" s="27" t="s">
        <v>1317</v>
      </c>
      <c r="AL171" s="27" t="s">
        <v>1318</v>
      </c>
      <c r="AM171" s="27" t="s">
        <v>1319</v>
      </c>
      <c r="AN171" s="27" t="s">
        <v>1320</v>
      </c>
      <c r="AO171" s="27">
        <v>24.5</v>
      </c>
      <c r="AP171" s="27">
        <v>33</v>
      </c>
    </row>
    <row r="172" spans="2:42" ht="13.5" thickBot="1">
      <c r="B172" s="3">
        <v>549</v>
      </c>
      <c r="C172" s="3">
        <v>96.5</v>
      </c>
      <c r="D172" s="122">
        <v>-137.97</v>
      </c>
      <c r="E172" s="4">
        <v>-7.73</v>
      </c>
      <c r="F172" s="5">
        <v>170</v>
      </c>
      <c r="H172" s="19">
        <v>23.5</v>
      </c>
      <c r="I172">
        <v>109.00000000000001</v>
      </c>
      <c r="J172" s="5">
        <v>31</v>
      </c>
      <c r="L172" s="27" t="s">
        <v>2003</v>
      </c>
      <c r="N172" s="3">
        <v>549</v>
      </c>
      <c r="P172" s="27">
        <v>137.97</v>
      </c>
      <c r="Q172">
        <v>-1</v>
      </c>
      <c r="R172" s="4">
        <v>-8.4700000000000006</v>
      </c>
      <c r="S172" s="19" t="s">
        <v>2004</v>
      </c>
      <c r="U172" s="37">
        <v>32</v>
      </c>
      <c r="V172" s="27" t="s">
        <v>2696</v>
      </c>
      <c r="W172" s="27"/>
      <c r="X172" s="27" t="s">
        <v>312</v>
      </c>
      <c r="Y172" s="27" t="s">
        <v>350</v>
      </c>
      <c r="Z172" s="27" t="s">
        <v>1322</v>
      </c>
      <c r="AA172" s="27" t="s">
        <v>1323</v>
      </c>
      <c r="AB172" s="27" t="s">
        <v>1324</v>
      </c>
      <c r="AC172" s="27" t="s">
        <v>1325</v>
      </c>
      <c r="AD172" s="27" t="s">
        <v>1326</v>
      </c>
      <c r="AE172" s="27" t="s">
        <v>1327</v>
      </c>
      <c r="AF172" s="27" t="s">
        <v>1328</v>
      </c>
      <c r="AG172" s="27" t="s">
        <v>1329</v>
      </c>
      <c r="AH172" s="27" t="s">
        <v>1330</v>
      </c>
      <c r="AI172" s="27"/>
      <c r="AJ172" s="27" t="s">
        <v>1331</v>
      </c>
      <c r="AK172" s="27" t="s">
        <v>2133</v>
      </c>
      <c r="AL172" s="27" t="s">
        <v>1332</v>
      </c>
      <c r="AM172" s="27" t="s">
        <v>877</v>
      </c>
      <c r="AN172" s="27" t="s">
        <v>1333</v>
      </c>
      <c r="AO172" s="27">
        <v>24</v>
      </c>
      <c r="AP172" s="27">
        <v>32</v>
      </c>
    </row>
    <row r="173" spans="2:42" ht="13.5" thickBot="1">
      <c r="B173" s="3">
        <v>551</v>
      </c>
      <c r="C173" s="3"/>
      <c r="D173" s="122">
        <v>-137.77000000000001</v>
      </c>
      <c r="E173" s="4">
        <v>-7.72</v>
      </c>
      <c r="F173" s="5">
        <v>171</v>
      </c>
      <c r="G173">
        <v>-10.5</v>
      </c>
      <c r="H173" s="19">
        <v>23</v>
      </c>
      <c r="J173" s="5">
        <v>30</v>
      </c>
      <c r="L173" s="27" t="s">
        <v>2005</v>
      </c>
      <c r="N173" s="3">
        <v>551</v>
      </c>
      <c r="P173" s="27">
        <v>137.77000000000001</v>
      </c>
      <c r="Q173">
        <v>-1</v>
      </c>
      <c r="R173" s="4">
        <v>-8.4600000000000009</v>
      </c>
      <c r="S173" s="19" t="s">
        <v>2006</v>
      </c>
      <c r="U173" s="37">
        <v>31</v>
      </c>
      <c r="V173" s="27" t="s">
        <v>1335</v>
      </c>
      <c r="W173" s="27"/>
      <c r="X173" s="27" t="s">
        <v>385</v>
      </c>
      <c r="Y173" s="27"/>
      <c r="Z173" s="27" t="s">
        <v>1071</v>
      </c>
      <c r="AA173" s="27" t="s">
        <v>1072</v>
      </c>
      <c r="AB173" s="27" t="s">
        <v>1336</v>
      </c>
      <c r="AC173" s="27" t="s">
        <v>1337</v>
      </c>
      <c r="AD173" s="27" t="s">
        <v>1338</v>
      </c>
      <c r="AE173" s="27" t="s">
        <v>1339</v>
      </c>
      <c r="AF173" s="27" t="s">
        <v>1338</v>
      </c>
      <c r="AG173" s="27" t="s">
        <v>1340</v>
      </c>
      <c r="AH173" s="27" t="s">
        <v>1341</v>
      </c>
      <c r="AI173" s="27" t="s">
        <v>1342</v>
      </c>
      <c r="AJ173" s="27" t="s">
        <v>1343</v>
      </c>
      <c r="AK173" s="27" t="s">
        <v>2173</v>
      </c>
      <c r="AL173" s="27" t="s">
        <v>1227</v>
      </c>
      <c r="AM173" s="27" t="s">
        <v>1344</v>
      </c>
      <c r="AN173" s="27" t="s">
        <v>1345</v>
      </c>
      <c r="AO173" s="27">
        <v>23.5</v>
      </c>
      <c r="AP173" s="27">
        <v>31</v>
      </c>
    </row>
    <row r="174" spans="2:42" ht="13.5" thickBot="1">
      <c r="B174" s="3">
        <v>552</v>
      </c>
      <c r="C174" s="3">
        <v>97</v>
      </c>
      <c r="D174" s="122">
        <v>-137.56</v>
      </c>
      <c r="E174" s="4">
        <v>-7.71</v>
      </c>
      <c r="F174" s="5">
        <v>172</v>
      </c>
      <c r="H174" s="19">
        <v>22.5</v>
      </c>
      <c r="I174">
        <v>108</v>
      </c>
      <c r="J174" s="5">
        <v>29</v>
      </c>
      <c r="L174" s="27" t="s">
        <v>2007</v>
      </c>
      <c r="N174" s="3">
        <v>552</v>
      </c>
      <c r="P174" s="27">
        <v>137.56</v>
      </c>
      <c r="Q174">
        <v>-1</v>
      </c>
      <c r="R174" s="4">
        <v>-8.43</v>
      </c>
      <c r="S174" s="19" t="s">
        <v>2008</v>
      </c>
      <c r="U174" s="37">
        <v>30</v>
      </c>
      <c r="V174" s="27" t="s">
        <v>1347</v>
      </c>
      <c r="W174" s="27" t="s">
        <v>1348</v>
      </c>
      <c r="X174" s="27" t="s">
        <v>453</v>
      </c>
      <c r="Y174" s="27" t="s">
        <v>464</v>
      </c>
      <c r="Z174" s="27" t="s">
        <v>1349</v>
      </c>
      <c r="AA174" s="27" t="s">
        <v>2772</v>
      </c>
      <c r="AB174" s="27" t="s">
        <v>1350</v>
      </c>
      <c r="AC174" s="27" t="s">
        <v>1351</v>
      </c>
      <c r="AD174" s="27" t="s">
        <v>1352</v>
      </c>
      <c r="AE174" s="27" t="s">
        <v>1353</v>
      </c>
      <c r="AF174" s="27" t="s">
        <v>1352</v>
      </c>
      <c r="AG174" s="27" t="s">
        <v>1354</v>
      </c>
      <c r="AH174" s="27" t="s">
        <v>1355</v>
      </c>
      <c r="AI174" s="27"/>
      <c r="AJ174" s="27" t="s">
        <v>1356</v>
      </c>
      <c r="AK174" s="27" t="s">
        <v>2212</v>
      </c>
      <c r="AL174" s="27" t="s">
        <v>1357</v>
      </c>
      <c r="AM174" s="27" t="s">
        <v>792</v>
      </c>
      <c r="AN174" s="27" t="s">
        <v>1358</v>
      </c>
      <c r="AO174" s="27">
        <v>23</v>
      </c>
      <c r="AP174" s="27">
        <v>30</v>
      </c>
    </row>
    <row r="175" spans="2:42" ht="13.5" thickBot="1">
      <c r="B175" s="3">
        <v>554</v>
      </c>
      <c r="C175" s="3"/>
      <c r="D175" s="122">
        <v>-137.36000000000001</v>
      </c>
      <c r="E175" s="4">
        <v>-7.7</v>
      </c>
      <c r="F175" s="5">
        <v>173</v>
      </c>
      <c r="G175">
        <v>-10.6</v>
      </c>
      <c r="H175" s="19">
        <v>22</v>
      </c>
      <c r="I175">
        <v>107</v>
      </c>
      <c r="J175" s="5">
        <v>28</v>
      </c>
      <c r="L175" s="27" t="s">
        <v>2009</v>
      </c>
      <c r="N175" s="3">
        <v>554</v>
      </c>
      <c r="P175" s="27">
        <v>137.36000000000001</v>
      </c>
      <c r="Q175">
        <v>-1</v>
      </c>
      <c r="R175" s="4">
        <v>-8.4</v>
      </c>
      <c r="S175" s="19" t="s">
        <v>2010</v>
      </c>
      <c r="U175" s="37">
        <v>29</v>
      </c>
      <c r="V175" s="27" t="s">
        <v>1359</v>
      </c>
      <c r="W175" s="27"/>
      <c r="X175" s="27" t="s">
        <v>1360</v>
      </c>
      <c r="Y175" s="27" t="s">
        <v>532</v>
      </c>
      <c r="Z175" s="27" t="s">
        <v>1109</v>
      </c>
      <c r="AA175" s="27" t="s">
        <v>1110</v>
      </c>
      <c r="AB175" s="27" t="s">
        <v>1361</v>
      </c>
      <c r="AC175" s="27" t="s">
        <v>491</v>
      </c>
      <c r="AD175" s="27" t="s">
        <v>1346</v>
      </c>
      <c r="AE175" s="27" t="s">
        <v>1362</v>
      </c>
      <c r="AF175" s="27" t="s">
        <v>1346</v>
      </c>
      <c r="AG175" s="27" t="s">
        <v>1363</v>
      </c>
      <c r="AH175" s="27" t="s">
        <v>1364</v>
      </c>
      <c r="AI175" s="27" t="s">
        <v>1365</v>
      </c>
      <c r="AJ175" s="27" t="s">
        <v>1366</v>
      </c>
      <c r="AK175" s="27" t="s">
        <v>2250</v>
      </c>
      <c r="AL175" s="27" t="s">
        <v>1367</v>
      </c>
      <c r="AM175" s="27" t="s">
        <v>1368</v>
      </c>
      <c r="AN175" s="27" t="s">
        <v>1369</v>
      </c>
      <c r="AO175" s="27">
        <v>22.5</v>
      </c>
      <c r="AP175" s="27">
        <v>29</v>
      </c>
    </row>
    <row r="176" spans="2:42" ht="13.5" thickBot="1">
      <c r="B176" s="3">
        <v>555</v>
      </c>
      <c r="C176" s="3">
        <v>97.5</v>
      </c>
      <c r="D176" s="122">
        <v>-137.16</v>
      </c>
      <c r="E176" s="4">
        <v>-7.69</v>
      </c>
      <c r="F176" s="5">
        <v>174</v>
      </c>
      <c r="H176" s="19">
        <v>21.5</v>
      </c>
      <c r="J176" s="5">
        <v>27</v>
      </c>
      <c r="L176" s="27" t="s">
        <v>2011</v>
      </c>
      <c r="N176" s="3">
        <v>555</v>
      </c>
      <c r="P176" s="27">
        <v>137.16</v>
      </c>
      <c r="Q176">
        <v>-1</v>
      </c>
      <c r="R176" s="4">
        <v>-8.3699999999999992</v>
      </c>
      <c r="S176" s="19" t="s">
        <v>2012</v>
      </c>
      <c r="U176" s="37">
        <v>28</v>
      </c>
      <c r="V176" s="27" t="s">
        <v>1370</v>
      </c>
      <c r="W176" s="27" t="s">
        <v>1371</v>
      </c>
      <c r="X176" s="27" t="s">
        <v>1372</v>
      </c>
      <c r="Y176" s="27"/>
      <c r="Z176" s="27" t="s">
        <v>1373</v>
      </c>
      <c r="AA176" s="27" t="s">
        <v>1374</v>
      </c>
      <c r="AB176" s="27" t="s">
        <v>1375</v>
      </c>
      <c r="AC176" s="27" t="s">
        <v>1376</v>
      </c>
      <c r="AD176" s="27" t="s">
        <v>1377</v>
      </c>
      <c r="AE176" s="27" t="s">
        <v>1378</v>
      </c>
      <c r="AF176" s="27" t="s">
        <v>1377</v>
      </c>
      <c r="AG176" s="27" t="s">
        <v>1379</v>
      </c>
      <c r="AH176" s="27" t="s">
        <v>2506</v>
      </c>
      <c r="AI176" s="27" t="s">
        <v>1380</v>
      </c>
      <c r="AJ176" s="27" t="s">
        <v>1381</v>
      </c>
      <c r="AK176" s="27" t="s">
        <v>1382</v>
      </c>
      <c r="AL176" s="27" t="s">
        <v>1383</v>
      </c>
      <c r="AM176" s="27" t="s">
        <v>2259</v>
      </c>
      <c r="AN176" s="27" t="s">
        <v>510</v>
      </c>
      <c r="AO176" s="27">
        <v>22</v>
      </c>
      <c r="AP176" s="27">
        <v>28</v>
      </c>
    </row>
    <row r="177" spans="2:42" ht="13.5" thickBot="1">
      <c r="B177" s="3">
        <v>557</v>
      </c>
      <c r="C177" s="3"/>
      <c r="D177" s="122">
        <v>-136.94999999999999</v>
      </c>
      <c r="E177" s="4">
        <v>-7.68</v>
      </c>
      <c r="F177" s="5">
        <v>175</v>
      </c>
      <c r="H177" s="19">
        <v>21</v>
      </c>
      <c r="I177">
        <v>106</v>
      </c>
      <c r="J177" s="5">
        <v>26</v>
      </c>
      <c r="L177" s="27" t="s">
        <v>2013</v>
      </c>
      <c r="N177" s="3">
        <v>557</v>
      </c>
      <c r="P177" s="27">
        <v>136.94999999999999</v>
      </c>
      <c r="Q177">
        <v>-1</v>
      </c>
      <c r="R177" s="4">
        <v>-8.34</v>
      </c>
      <c r="S177" s="19" t="s">
        <v>2014</v>
      </c>
      <c r="U177" s="37">
        <v>27</v>
      </c>
      <c r="V177" s="27" t="s">
        <v>1384</v>
      </c>
      <c r="W177" s="27"/>
      <c r="X177" s="27" t="s">
        <v>564</v>
      </c>
      <c r="Y177" s="27" t="s">
        <v>565</v>
      </c>
      <c r="Z177" s="27" t="s">
        <v>1146</v>
      </c>
      <c r="AA177" s="27" t="s">
        <v>1147</v>
      </c>
      <c r="AB177" s="27" t="s">
        <v>1385</v>
      </c>
      <c r="AC177" s="27" t="s">
        <v>1386</v>
      </c>
      <c r="AD177" s="27" t="s">
        <v>1387</v>
      </c>
      <c r="AE177" s="27" t="s">
        <v>1388</v>
      </c>
      <c r="AF177" s="27" t="s">
        <v>1389</v>
      </c>
      <c r="AG177" s="27" t="s">
        <v>1390</v>
      </c>
      <c r="AH177" s="27" t="s">
        <v>1391</v>
      </c>
      <c r="AI177" s="27"/>
      <c r="AJ177" s="27" t="s">
        <v>1392</v>
      </c>
      <c r="AK177" s="27" t="s">
        <v>2314</v>
      </c>
      <c r="AL177" s="27" t="s">
        <v>1291</v>
      </c>
      <c r="AM177" s="27" t="s">
        <v>1393</v>
      </c>
      <c r="AN177" s="27" t="s">
        <v>287</v>
      </c>
      <c r="AO177" s="27">
        <v>21.5</v>
      </c>
      <c r="AP177" s="27">
        <v>27</v>
      </c>
    </row>
    <row r="178" spans="2:42" ht="13.5" thickBot="1">
      <c r="B178" s="3">
        <v>558</v>
      </c>
      <c r="C178" s="3">
        <v>98</v>
      </c>
      <c r="D178" s="122">
        <v>-136.75</v>
      </c>
      <c r="E178" s="4">
        <v>-7.67</v>
      </c>
      <c r="F178" s="5">
        <v>176</v>
      </c>
      <c r="G178">
        <f>-10.7</f>
        <v>-10.7</v>
      </c>
      <c r="H178" s="19">
        <v>20.5</v>
      </c>
      <c r="I178">
        <v>105</v>
      </c>
      <c r="J178" s="5">
        <v>25</v>
      </c>
      <c r="L178" s="27" t="s">
        <v>2015</v>
      </c>
      <c r="N178" s="3">
        <v>558</v>
      </c>
      <c r="P178" s="27">
        <v>136.75</v>
      </c>
      <c r="Q178">
        <v>-1</v>
      </c>
      <c r="R178" s="4">
        <v>-8.31</v>
      </c>
      <c r="S178" s="19" t="s">
        <v>2016</v>
      </c>
      <c r="U178" s="37">
        <v>26</v>
      </c>
      <c r="V178" s="27" t="s">
        <v>2616</v>
      </c>
      <c r="W178" s="27"/>
      <c r="X178" s="27" t="s">
        <v>1394</v>
      </c>
      <c r="Y178" s="27" t="s">
        <v>586</v>
      </c>
      <c r="Z178" s="27" t="s">
        <v>1395</v>
      </c>
      <c r="AA178" s="27" t="s">
        <v>1396</v>
      </c>
      <c r="AB178" s="27" t="s">
        <v>1397</v>
      </c>
      <c r="AC178" s="27" t="s">
        <v>1398</v>
      </c>
      <c r="AD178" s="27" t="s">
        <v>1399</v>
      </c>
      <c r="AE178" s="27" t="s">
        <v>1400</v>
      </c>
      <c r="AF178" s="27" t="s">
        <v>1399</v>
      </c>
      <c r="AG178" s="27" t="s">
        <v>1401</v>
      </c>
      <c r="AH178" s="27" t="s">
        <v>2479</v>
      </c>
      <c r="AI178" s="27" t="s">
        <v>1402</v>
      </c>
      <c r="AJ178" s="27" t="s">
        <v>1403</v>
      </c>
      <c r="AK178" s="27" t="s">
        <v>2352</v>
      </c>
      <c r="AL178" s="27" t="s">
        <v>1404</v>
      </c>
      <c r="AM178" s="27" t="s">
        <v>1405</v>
      </c>
      <c r="AN178" s="27" t="s">
        <v>110</v>
      </c>
      <c r="AO178" s="27">
        <v>21</v>
      </c>
      <c r="AP178" s="27">
        <v>26</v>
      </c>
    </row>
    <row r="179" spans="2:42" ht="13.5" thickBot="1">
      <c r="B179" s="3">
        <v>560</v>
      </c>
      <c r="C179" s="3"/>
      <c r="D179" s="122">
        <v>-136.55000000000001</v>
      </c>
      <c r="E179" s="4">
        <v>-7.66</v>
      </c>
      <c r="F179" s="5">
        <v>177</v>
      </c>
      <c r="H179" s="19">
        <v>20</v>
      </c>
      <c r="J179" s="5">
        <v>24</v>
      </c>
      <c r="L179" s="27" t="s">
        <v>2017</v>
      </c>
      <c r="N179" s="3">
        <v>560</v>
      </c>
      <c r="P179" s="27">
        <v>136.55000000000001</v>
      </c>
      <c r="Q179">
        <v>-1</v>
      </c>
      <c r="R179" s="4">
        <v>-8.2799999999999994</v>
      </c>
      <c r="S179" s="19" t="s">
        <v>2018</v>
      </c>
      <c r="U179" s="37">
        <v>25</v>
      </c>
      <c r="V179" s="27" t="s">
        <v>1406</v>
      </c>
      <c r="W179" s="27" t="s">
        <v>1407</v>
      </c>
      <c r="X179" s="27" t="s">
        <v>618</v>
      </c>
      <c r="Y179" s="27" t="s">
        <v>620</v>
      </c>
      <c r="Z179" s="27" t="s">
        <v>1181</v>
      </c>
      <c r="AA179" s="27" t="s">
        <v>2682</v>
      </c>
      <c r="AB179" s="27" t="s">
        <v>1408</v>
      </c>
      <c r="AC179" s="27" t="s">
        <v>1409</v>
      </c>
      <c r="AD179" s="27" t="s">
        <v>1334</v>
      </c>
      <c r="AE179" s="27" t="s">
        <v>1410</v>
      </c>
      <c r="AF179" s="27" t="s">
        <v>1334</v>
      </c>
      <c r="AG179" s="27" t="s">
        <v>1411</v>
      </c>
      <c r="AH179" s="27" t="s">
        <v>1412</v>
      </c>
      <c r="AI179" s="27" t="s">
        <v>1413</v>
      </c>
      <c r="AJ179" s="27" t="s">
        <v>1414</v>
      </c>
      <c r="AK179" s="27" t="s">
        <v>2393</v>
      </c>
      <c r="AL179" s="27" t="s">
        <v>2120</v>
      </c>
      <c r="AM179" s="27" t="s">
        <v>1415</v>
      </c>
      <c r="AN179" s="27" t="s">
        <v>2846</v>
      </c>
      <c r="AO179" s="27">
        <v>20.5</v>
      </c>
      <c r="AP179" s="27">
        <v>25</v>
      </c>
    </row>
    <row r="180" spans="2:42" ht="13.5" thickBot="1">
      <c r="B180" s="3">
        <v>561</v>
      </c>
      <c r="C180" s="3">
        <v>98.5</v>
      </c>
      <c r="D180" s="122">
        <v>-136.35</v>
      </c>
      <c r="E180" s="4">
        <v>-7.65</v>
      </c>
      <c r="F180" s="5">
        <v>178</v>
      </c>
      <c r="G180">
        <v>-10.8</v>
      </c>
      <c r="H180" s="19">
        <v>19.5</v>
      </c>
      <c r="I180">
        <v>104</v>
      </c>
      <c r="J180" s="5">
        <v>23</v>
      </c>
      <c r="L180" s="27" t="s">
        <v>2019</v>
      </c>
      <c r="N180" s="3">
        <v>561</v>
      </c>
      <c r="P180" s="27">
        <v>136.35</v>
      </c>
      <c r="Q180">
        <v>-1</v>
      </c>
      <c r="R180" s="4">
        <v>-8.25</v>
      </c>
      <c r="S180" s="19" t="s">
        <v>2020</v>
      </c>
      <c r="U180" s="37">
        <v>24</v>
      </c>
      <c r="V180" s="27" t="s">
        <v>1416</v>
      </c>
      <c r="W180" s="27"/>
      <c r="X180" s="27" t="s">
        <v>1417</v>
      </c>
      <c r="Y180" s="27"/>
      <c r="Z180" s="27" t="s">
        <v>1418</v>
      </c>
      <c r="AA180" s="27" t="s">
        <v>1419</v>
      </c>
      <c r="AB180" s="27" t="s">
        <v>1420</v>
      </c>
      <c r="AC180" s="27" t="s">
        <v>446</v>
      </c>
      <c r="AD180" s="27" t="s">
        <v>1421</v>
      </c>
      <c r="AE180" s="27" t="s">
        <v>1422</v>
      </c>
      <c r="AF180" s="27" t="s">
        <v>1421</v>
      </c>
      <c r="AG180" s="27" t="s">
        <v>1423</v>
      </c>
      <c r="AH180" s="27" t="s">
        <v>2463</v>
      </c>
      <c r="AI180" s="27"/>
      <c r="AJ180" s="27" t="s">
        <v>1424</v>
      </c>
      <c r="AK180" s="27" t="s">
        <v>2425</v>
      </c>
      <c r="AL180" s="27" t="s">
        <v>2161</v>
      </c>
      <c r="AM180" s="27" t="s">
        <v>1425</v>
      </c>
      <c r="AN180" s="27" t="s">
        <v>1426</v>
      </c>
      <c r="AO180" s="27">
        <v>20</v>
      </c>
      <c r="AP180" s="27">
        <v>24</v>
      </c>
    </row>
    <row r="181" spans="2:42" ht="13.5" thickBot="1">
      <c r="B181" s="3">
        <v>563</v>
      </c>
      <c r="C181" s="3"/>
      <c r="D181" s="122">
        <v>-136.15</v>
      </c>
      <c r="E181" s="4">
        <v>-7.64</v>
      </c>
      <c r="F181" s="5">
        <v>179</v>
      </c>
      <c r="H181" s="19">
        <v>19</v>
      </c>
      <c r="I181">
        <v>103</v>
      </c>
      <c r="J181" s="5">
        <v>22</v>
      </c>
      <c r="L181" s="27" t="s">
        <v>2021</v>
      </c>
      <c r="N181" s="3">
        <v>563</v>
      </c>
      <c r="P181" s="27">
        <v>136.15</v>
      </c>
      <c r="Q181">
        <v>-1</v>
      </c>
      <c r="R181" s="4">
        <v>-8.2200000000000006</v>
      </c>
      <c r="S181" s="19" t="s">
        <v>2022</v>
      </c>
      <c r="U181" s="37">
        <v>23</v>
      </c>
      <c r="V181" s="27" t="s">
        <v>1427</v>
      </c>
      <c r="W181" s="27" t="s">
        <v>1428</v>
      </c>
      <c r="X181" s="27" t="s">
        <v>643</v>
      </c>
      <c r="Y181" s="27" t="s">
        <v>644</v>
      </c>
      <c r="Z181" s="27" t="s">
        <v>1429</v>
      </c>
      <c r="AA181" s="27" t="s">
        <v>1213</v>
      </c>
      <c r="AB181" s="27" t="s">
        <v>1430</v>
      </c>
      <c r="AC181" s="27" t="s">
        <v>1431</v>
      </c>
      <c r="AD181" s="27" t="s">
        <v>1432</v>
      </c>
      <c r="AE181" s="27" t="s">
        <v>1433</v>
      </c>
      <c r="AF181" s="27" t="s">
        <v>1432</v>
      </c>
      <c r="AG181" s="27" t="s">
        <v>1434</v>
      </c>
      <c r="AH181" s="27" t="s">
        <v>1435</v>
      </c>
      <c r="AI181" s="27" t="s">
        <v>1436</v>
      </c>
      <c r="AJ181" s="27" t="s">
        <v>1437</v>
      </c>
      <c r="AK181" s="27" t="s">
        <v>1438</v>
      </c>
      <c r="AL181" s="27" t="s">
        <v>2212</v>
      </c>
      <c r="AM181" s="27" t="s">
        <v>334</v>
      </c>
      <c r="AN181" s="27" t="s">
        <v>1152</v>
      </c>
      <c r="AO181" s="27">
        <v>19.5</v>
      </c>
      <c r="AP181" s="27">
        <v>23</v>
      </c>
    </row>
    <row r="182" spans="2:42" ht="13.5" thickBot="1">
      <c r="B182" s="3">
        <v>564</v>
      </c>
      <c r="C182" s="3">
        <v>99</v>
      </c>
      <c r="D182" s="122">
        <v>-135.94999999999999</v>
      </c>
      <c r="E182" s="4">
        <v>-7.63</v>
      </c>
      <c r="F182" s="5">
        <v>180</v>
      </c>
      <c r="G182">
        <v>-10.9</v>
      </c>
      <c r="H182" s="19">
        <v>18.5</v>
      </c>
      <c r="J182" s="5">
        <v>21</v>
      </c>
      <c r="L182" s="27" t="s">
        <v>2023</v>
      </c>
      <c r="N182" s="3">
        <v>564</v>
      </c>
      <c r="P182" s="27">
        <v>135.94999999999999</v>
      </c>
      <c r="Q182">
        <v>-1</v>
      </c>
      <c r="R182" s="4">
        <v>-8.19</v>
      </c>
      <c r="S182" s="19" t="s">
        <v>2024</v>
      </c>
      <c r="U182" s="37">
        <v>22</v>
      </c>
      <c r="V182" s="27" t="s">
        <v>1439</v>
      </c>
      <c r="W182" s="27"/>
      <c r="X182" s="27" t="s">
        <v>1440</v>
      </c>
      <c r="Y182" s="27" t="s">
        <v>675</v>
      </c>
      <c r="Z182" s="27" t="s">
        <v>1237</v>
      </c>
      <c r="AA182" s="27" t="s">
        <v>2636</v>
      </c>
      <c r="AB182" s="27" t="s">
        <v>1441</v>
      </c>
      <c r="AC182" s="27" t="s">
        <v>1442</v>
      </c>
      <c r="AD182" s="27" t="s">
        <v>1443</v>
      </c>
      <c r="AE182" s="27" t="s">
        <v>1444</v>
      </c>
      <c r="AF182" s="27" t="s">
        <v>1443</v>
      </c>
      <c r="AG182" s="27" t="s">
        <v>1445</v>
      </c>
      <c r="AH182" s="27" t="s">
        <v>1446</v>
      </c>
      <c r="AI182" s="27" t="s">
        <v>1447</v>
      </c>
      <c r="AJ182" s="27" t="s">
        <v>1448</v>
      </c>
      <c r="AK182" s="27" t="s">
        <v>2530</v>
      </c>
      <c r="AL182" s="27" t="s">
        <v>1449</v>
      </c>
      <c r="AM182" s="27" t="s">
        <v>1450</v>
      </c>
      <c r="AN182" s="27" t="s">
        <v>2656</v>
      </c>
      <c r="AO182" s="27">
        <v>19</v>
      </c>
      <c r="AP182" s="27">
        <v>22</v>
      </c>
    </row>
    <row r="183" spans="2:42" ht="13.5" thickBot="1">
      <c r="B183" s="3">
        <v>565</v>
      </c>
      <c r="C183" s="3"/>
      <c r="D183" s="122">
        <v>-135.76</v>
      </c>
      <c r="E183" s="4">
        <v>-7.62</v>
      </c>
      <c r="F183" s="5">
        <v>181</v>
      </c>
      <c r="H183" s="19">
        <v>18</v>
      </c>
      <c r="I183">
        <v>102</v>
      </c>
      <c r="J183" s="5">
        <v>20</v>
      </c>
      <c r="L183" s="27" t="s">
        <v>2025</v>
      </c>
      <c r="N183" s="3">
        <v>565</v>
      </c>
      <c r="P183" s="27">
        <v>135.76</v>
      </c>
      <c r="Q183">
        <v>-1</v>
      </c>
      <c r="R183" s="4">
        <v>-8.16</v>
      </c>
      <c r="S183" s="19" t="s">
        <v>2026</v>
      </c>
      <c r="U183" s="37">
        <v>21</v>
      </c>
      <c r="V183" s="27" t="s">
        <v>1451</v>
      </c>
      <c r="W183" s="27" t="s">
        <v>1452</v>
      </c>
      <c r="X183" s="27" t="s">
        <v>1453</v>
      </c>
      <c r="Y183" s="27"/>
      <c r="Z183" s="27" t="s">
        <v>1454</v>
      </c>
      <c r="AA183" s="27" t="s">
        <v>1455</v>
      </c>
      <c r="AB183" s="27" t="s">
        <v>1456</v>
      </c>
      <c r="AC183" s="27" t="s">
        <v>1457</v>
      </c>
      <c r="AD183" s="27" t="s">
        <v>1321</v>
      </c>
      <c r="AE183" s="27" t="s">
        <v>1458</v>
      </c>
      <c r="AF183" s="27" t="s">
        <v>1321</v>
      </c>
      <c r="AG183" s="27" t="s">
        <v>1459</v>
      </c>
      <c r="AH183" s="27" t="s">
        <v>1460</v>
      </c>
      <c r="AI183" s="27"/>
      <c r="AJ183" s="27" t="s">
        <v>1461</v>
      </c>
      <c r="AK183" s="27" t="s">
        <v>1462</v>
      </c>
      <c r="AL183" s="27" t="s">
        <v>2300</v>
      </c>
      <c r="AM183" s="27" t="s">
        <v>53</v>
      </c>
      <c r="AN183" s="27" t="s">
        <v>1029</v>
      </c>
      <c r="AO183" s="27">
        <v>18.5</v>
      </c>
      <c r="AP183" s="27">
        <v>21</v>
      </c>
    </row>
    <row r="184" spans="2:42" ht="13.5" thickBot="1">
      <c r="B184" s="3">
        <v>567</v>
      </c>
      <c r="C184" s="3">
        <v>99.5</v>
      </c>
      <c r="D184" s="122">
        <v>-135.56</v>
      </c>
      <c r="E184" s="4">
        <v>-7.61</v>
      </c>
      <c r="F184" s="5">
        <v>182</v>
      </c>
      <c r="G184">
        <v>-11</v>
      </c>
      <c r="H184" s="19">
        <v>17.5</v>
      </c>
      <c r="I184">
        <v>101</v>
      </c>
      <c r="J184" s="5">
        <v>19</v>
      </c>
      <c r="L184" s="27" t="s">
        <v>2027</v>
      </c>
      <c r="N184" s="3">
        <v>567</v>
      </c>
      <c r="P184" s="27">
        <v>135.56</v>
      </c>
      <c r="Q184">
        <v>-1</v>
      </c>
      <c r="R184" s="4">
        <v>-8.1300000000000008</v>
      </c>
      <c r="S184" s="19" t="s">
        <v>2028</v>
      </c>
      <c r="U184" s="37">
        <v>20</v>
      </c>
      <c r="V184" s="27" t="s">
        <v>1463</v>
      </c>
      <c r="W184" s="27"/>
      <c r="X184" s="27" t="s">
        <v>696</v>
      </c>
      <c r="Y184" s="27" t="s">
        <v>687</v>
      </c>
      <c r="Z184" s="27" t="s">
        <v>1464</v>
      </c>
      <c r="AA184" s="27" t="s">
        <v>1465</v>
      </c>
      <c r="AB184" s="27" t="s">
        <v>1466</v>
      </c>
      <c r="AC184" s="27" t="s">
        <v>1467</v>
      </c>
      <c r="AD184" s="27" t="s">
        <v>1468</v>
      </c>
      <c r="AE184" s="27" t="s">
        <v>1469</v>
      </c>
      <c r="AF184" s="27" t="s">
        <v>1468</v>
      </c>
      <c r="AG184" s="27" t="s">
        <v>1470</v>
      </c>
      <c r="AH184" s="27" t="s">
        <v>1471</v>
      </c>
      <c r="AI184" s="27" t="s">
        <v>1472</v>
      </c>
      <c r="AJ184" s="27" t="s">
        <v>1473</v>
      </c>
      <c r="AK184" s="27" t="s">
        <v>1474</v>
      </c>
      <c r="AL184" s="27" t="s">
        <v>2340</v>
      </c>
      <c r="AM184" s="27" t="s">
        <v>2789</v>
      </c>
      <c r="AN184" s="27" t="s">
        <v>1303</v>
      </c>
      <c r="AO184" s="27">
        <v>18</v>
      </c>
      <c r="AP184" s="27">
        <v>20</v>
      </c>
    </row>
    <row r="185" spans="2:42" ht="13.5" thickBot="1">
      <c r="B185" s="3">
        <v>568</v>
      </c>
      <c r="C185" s="3"/>
      <c r="D185" s="122">
        <v>-135.36000000000001</v>
      </c>
      <c r="E185" s="4">
        <v>-7.6</v>
      </c>
      <c r="F185" s="5">
        <v>183</v>
      </c>
      <c r="G185">
        <v>-11.1</v>
      </c>
      <c r="H185" s="19">
        <v>17</v>
      </c>
      <c r="I185">
        <v>100</v>
      </c>
      <c r="J185" s="5">
        <v>18</v>
      </c>
      <c r="L185" s="27" t="s">
        <v>2029</v>
      </c>
      <c r="N185" s="3">
        <v>568</v>
      </c>
      <c r="P185" s="27">
        <v>135.36000000000001</v>
      </c>
      <c r="Q185">
        <v>-1</v>
      </c>
      <c r="R185" s="4">
        <v>-8.1</v>
      </c>
      <c r="S185" s="19" t="s">
        <v>2030</v>
      </c>
      <c r="U185" s="37">
        <v>19</v>
      </c>
      <c r="V185" s="27" t="s">
        <v>1475</v>
      </c>
      <c r="W185" s="27" t="s">
        <v>1476</v>
      </c>
      <c r="X185" s="27" t="s">
        <v>1477</v>
      </c>
      <c r="Y185" s="27" t="s">
        <v>707</v>
      </c>
      <c r="Z185" s="27" t="s">
        <v>1478</v>
      </c>
      <c r="AA185" s="27" t="s">
        <v>2574</v>
      </c>
      <c r="AB185" s="27" t="s">
        <v>1479</v>
      </c>
      <c r="AC185" s="27" t="s">
        <v>400</v>
      </c>
      <c r="AD185" s="27" t="s">
        <v>1480</v>
      </c>
      <c r="AE185" s="27" t="s">
        <v>1481</v>
      </c>
      <c r="AF185" s="27" t="s">
        <v>1480</v>
      </c>
      <c r="AG185" s="27" t="s">
        <v>1482</v>
      </c>
      <c r="AH185" s="27" t="s">
        <v>1483</v>
      </c>
      <c r="AI185" s="27" t="s">
        <v>1484</v>
      </c>
      <c r="AJ185" s="27" t="s">
        <v>1485</v>
      </c>
      <c r="AK185" s="27" t="s">
        <v>2677</v>
      </c>
      <c r="AL185" s="27" t="s">
        <v>2393</v>
      </c>
      <c r="AM185" s="27" t="s">
        <v>2652</v>
      </c>
      <c r="AN185" s="27" t="s">
        <v>1486</v>
      </c>
      <c r="AO185" s="27">
        <v>17.5</v>
      </c>
      <c r="AP185" s="27">
        <v>19</v>
      </c>
    </row>
    <row r="186" spans="2:42" ht="13.5" thickBot="1">
      <c r="B186" s="3">
        <v>570</v>
      </c>
      <c r="C186" s="3">
        <v>100</v>
      </c>
      <c r="D186" s="122">
        <v>-135.16999999999999</v>
      </c>
      <c r="E186" s="4">
        <v>-7.59</v>
      </c>
      <c r="F186" s="5">
        <v>184</v>
      </c>
      <c r="H186" s="19">
        <v>16.5</v>
      </c>
      <c r="J186" s="5">
        <v>17</v>
      </c>
      <c r="L186" s="27" t="s">
        <v>2031</v>
      </c>
      <c r="N186" s="3">
        <v>570</v>
      </c>
      <c r="P186" s="27">
        <v>135.16999999999999</v>
      </c>
      <c r="Q186">
        <v>-1</v>
      </c>
      <c r="R186" s="4">
        <v>-8.08</v>
      </c>
      <c r="S186" s="19" t="s">
        <v>2032</v>
      </c>
      <c r="U186" s="37">
        <v>18</v>
      </c>
      <c r="V186" s="27" t="s">
        <v>1487</v>
      </c>
      <c r="W186" s="27" t="s">
        <v>1488</v>
      </c>
      <c r="X186" s="27" t="s">
        <v>1489</v>
      </c>
      <c r="Y186" s="27" t="s">
        <v>727</v>
      </c>
      <c r="Z186" s="27" t="s">
        <v>1490</v>
      </c>
      <c r="AA186" s="27" t="s">
        <v>1330</v>
      </c>
      <c r="AB186" s="27" t="s">
        <v>1491</v>
      </c>
      <c r="AC186" s="27" t="s">
        <v>1492</v>
      </c>
      <c r="AD186" s="27" t="s">
        <v>1493</v>
      </c>
      <c r="AE186" s="27" t="s">
        <v>1494</v>
      </c>
      <c r="AF186" s="27" t="s">
        <v>1493</v>
      </c>
      <c r="AG186" s="27" t="s">
        <v>1495</v>
      </c>
      <c r="AH186" s="27" t="s">
        <v>1496</v>
      </c>
      <c r="AI186" s="27" t="s">
        <v>1497</v>
      </c>
      <c r="AJ186" s="27" t="s">
        <v>1498</v>
      </c>
      <c r="AK186" s="27" t="s">
        <v>1499</v>
      </c>
      <c r="AL186" s="27" t="s">
        <v>2425</v>
      </c>
      <c r="AM186" s="27" t="s">
        <v>2327</v>
      </c>
      <c r="AN186" s="27" t="s">
        <v>1500</v>
      </c>
      <c r="AO186" s="27">
        <v>17</v>
      </c>
      <c r="AP186" s="27">
        <v>18</v>
      </c>
    </row>
    <row r="187" spans="2:42" ht="13.5" thickBot="1">
      <c r="B187" s="3">
        <v>571</v>
      </c>
      <c r="C187" s="3"/>
      <c r="D187" s="122">
        <v>-134.97</v>
      </c>
      <c r="E187" s="4">
        <v>-7.58</v>
      </c>
      <c r="F187" s="5">
        <v>185</v>
      </c>
      <c r="G187">
        <v>-11.2</v>
      </c>
      <c r="H187" s="19">
        <v>16</v>
      </c>
      <c r="I187">
        <v>99</v>
      </c>
      <c r="J187" s="5">
        <v>16</v>
      </c>
      <c r="L187" s="27" t="s">
        <v>2033</v>
      </c>
      <c r="N187" s="3">
        <v>571</v>
      </c>
      <c r="P187" s="27">
        <v>134.97</v>
      </c>
      <c r="Q187">
        <v>-1</v>
      </c>
      <c r="R187" s="4">
        <v>-8.06</v>
      </c>
      <c r="S187" s="19" t="s">
        <v>2034</v>
      </c>
      <c r="U187" s="37">
        <v>17</v>
      </c>
      <c r="V187" s="27" t="s">
        <v>1501</v>
      </c>
      <c r="W187" s="27"/>
      <c r="X187" s="27" t="s">
        <v>1052</v>
      </c>
      <c r="Y187" s="27" t="s">
        <v>738</v>
      </c>
      <c r="Z187" s="27" t="s">
        <v>1502</v>
      </c>
      <c r="AA187" s="27" t="s">
        <v>1341</v>
      </c>
      <c r="AB187" s="27" t="s">
        <v>1503</v>
      </c>
      <c r="AC187" s="27" t="s">
        <v>1504</v>
      </c>
      <c r="AD187" s="27" t="s">
        <v>1505</v>
      </c>
      <c r="AE187" s="27" t="s">
        <v>1506</v>
      </c>
      <c r="AF187" s="27" t="s">
        <v>1305</v>
      </c>
      <c r="AG187" s="27" t="s">
        <v>1507</v>
      </c>
      <c r="AH187" s="27" t="s">
        <v>1508</v>
      </c>
      <c r="AI187" s="27"/>
      <c r="AJ187" s="27" t="s">
        <v>1509</v>
      </c>
      <c r="AK187" s="27" t="s">
        <v>1510</v>
      </c>
      <c r="AL187" s="27" t="s">
        <v>1438</v>
      </c>
      <c r="AM187" s="27" t="s">
        <v>2369</v>
      </c>
      <c r="AN187" s="27" t="s">
        <v>1368</v>
      </c>
      <c r="AO187" s="27">
        <v>16.5</v>
      </c>
      <c r="AP187" s="27">
        <v>17</v>
      </c>
    </row>
    <row r="188" spans="2:42" ht="13.5" thickBot="1">
      <c r="B188" s="3">
        <v>573</v>
      </c>
      <c r="C188" s="3">
        <v>100.5</v>
      </c>
      <c r="D188" s="122">
        <v>-134.77000000000001</v>
      </c>
      <c r="E188" s="4">
        <v>-7.56</v>
      </c>
      <c r="F188" s="5">
        <v>186</v>
      </c>
      <c r="G188">
        <v>-11.3</v>
      </c>
      <c r="H188" s="19">
        <v>15.5</v>
      </c>
      <c r="I188">
        <v>98</v>
      </c>
      <c r="J188" s="5">
        <v>15</v>
      </c>
      <c r="L188" s="27" t="s">
        <v>2035</v>
      </c>
      <c r="N188" s="3">
        <v>573</v>
      </c>
      <c r="P188" s="27">
        <v>134.77000000000001</v>
      </c>
      <c r="Q188">
        <v>-1</v>
      </c>
      <c r="R188" s="4">
        <v>-8.0399999999999991</v>
      </c>
      <c r="S188" s="19" t="s">
        <v>2036</v>
      </c>
      <c r="U188" s="37">
        <v>16</v>
      </c>
      <c r="V188" s="27" t="s">
        <v>1511</v>
      </c>
      <c r="W188" s="27" t="s">
        <v>1512</v>
      </c>
      <c r="X188" s="27" t="s">
        <v>1513</v>
      </c>
      <c r="Y188" s="27" t="s">
        <v>750</v>
      </c>
      <c r="Z188" s="27" t="s">
        <v>1514</v>
      </c>
      <c r="AA188" s="27" t="s">
        <v>1515</v>
      </c>
      <c r="AB188" s="27" t="s">
        <v>1516</v>
      </c>
      <c r="AC188" s="27" t="s">
        <v>1517</v>
      </c>
      <c r="AD188" s="27" t="s">
        <v>1518</v>
      </c>
      <c r="AE188" s="27" t="s">
        <v>1519</v>
      </c>
      <c r="AF188" s="27" t="s">
        <v>1518</v>
      </c>
      <c r="AG188" s="27" t="s">
        <v>1520</v>
      </c>
      <c r="AH188" s="27" t="s">
        <v>1521</v>
      </c>
      <c r="AI188" s="27" t="s">
        <v>1522</v>
      </c>
      <c r="AJ188" s="27" t="s">
        <v>1523</v>
      </c>
      <c r="AK188" s="27" t="s">
        <v>2795</v>
      </c>
      <c r="AL188" s="27" t="s">
        <v>2530</v>
      </c>
      <c r="AM188" s="27" t="s">
        <v>1524</v>
      </c>
      <c r="AN188" s="27" t="s">
        <v>2246</v>
      </c>
      <c r="AO188" s="27">
        <v>16</v>
      </c>
      <c r="AP188" s="27">
        <v>16</v>
      </c>
    </row>
    <row r="189" spans="2:42" ht="13.5" thickBot="1">
      <c r="B189" s="3">
        <v>574</v>
      </c>
      <c r="C189" s="3"/>
      <c r="D189" s="122">
        <v>-134.58000000000001</v>
      </c>
      <c r="E189" s="4">
        <v>-7.55</v>
      </c>
      <c r="F189" s="5">
        <v>187</v>
      </c>
      <c r="H189" s="19">
        <v>15</v>
      </c>
      <c r="I189">
        <v>97</v>
      </c>
      <c r="J189" s="5">
        <v>14</v>
      </c>
      <c r="L189" s="27" t="s">
        <v>2037</v>
      </c>
      <c r="N189" s="3">
        <v>574</v>
      </c>
      <c r="P189" s="27">
        <v>134.58000000000001</v>
      </c>
      <c r="Q189">
        <v>-1</v>
      </c>
      <c r="R189" s="4">
        <v>-8.02</v>
      </c>
      <c r="S189" s="19" t="s">
        <v>2038</v>
      </c>
      <c r="U189" s="37">
        <v>15</v>
      </c>
      <c r="V189" s="27" t="s">
        <v>1525</v>
      </c>
      <c r="W189" s="27" t="s">
        <v>1526</v>
      </c>
      <c r="X189" s="27" t="s">
        <v>1527</v>
      </c>
      <c r="Y189" s="27" t="s">
        <v>761</v>
      </c>
      <c r="Z189" s="27" t="s">
        <v>1528</v>
      </c>
      <c r="AA189" s="27" t="s">
        <v>2506</v>
      </c>
      <c r="AB189" s="27" t="s">
        <v>1529</v>
      </c>
      <c r="AC189" s="27" t="s">
        <v>1530</v>
      </c>
      <c r="AD189" s="27" t="s">
        <v>1531</v>
      </c>
      <c r="AE189" s="27" t="s">
        <v>1532</v>
      </c>
      <c r="AF189" s="27" t="s">
        <v>1531</v>
      </c>
      <c r="AG189" s="27" t="s">
        <v>1533</v>
      </c>
      <c r="AH189" s="27" t="s">
        <v>2356</v>
      </c>
      <c r="AI189" s="27" t="s">
        <v>1534</v>
      </c>
      <c r="AJ189" s="27" t="s">
        <v>1535</v>
      </c>
      <c r="AK189" s="27" t="s">
        <v>7</v>
      </c>
      <c r="AL189" s="27" t="s">
        <v>1462</v>
      </c>
      <c r="AM189" s="27" t="s">
        <v>1536</v>
      </c>
      <c r="AN189" s="27" t="s">
        <v>2169</v>
      </c>
      <c r="AO189" s="27">
        <v>15.5</v>
      </c>
      <c r="AP189" s="27">
        <v>15</v>
      </c>
    </row>
    <row r="190" spans="2:42" ht="13.5" thickBot="1">
      <c r="B190" s="3">
        <v>576</v>
      </c>
      <c r="C190" s="3">
        <v>101</v>
      </c>
      <c r="D190" s="122">
        <v>-134.38999999999999</v>
      </c>
      <c r="E190" s="4">
        <v>-7.54</v>
      </c>
      <c r="F190" s="5">
        <v>188</v>
      </c>
      <c r="G190">
        <v>-11.4</v>
      </c>
      <c r="H190" s="19">
        <v>14.5</v>
      </c>
      <c r="I190">
        <v>96</v>
      </c>
      <c r="J190" s="5">
        <v>13</v>
      </c>
      <c r="L190" s="27" t="s">
        <v>2039</v>
      </c>
      <c r="N190" s="3">
        <v>576</v>
      </c>
      <c r="P190" s="27">
        <v>134.38999999999999</v>
      </c>
      <c r="Q190">
        <v>-1</v>
      </c>
      <c r="R190" s="4">
        <v>-8</v>
      </c>
      <c r="S190" s="19" t="s">
        <v>2040</v>
      </c>
      <c r="U190" s="37">
        <v>14</v>
      </c>
      <c r="V190" s="27" t="s">
        <v>1537</v>
      </c>
      <c r="W190" s="27"/>
      <c r="X190" s="27" t="s">
        <v>1538</v>
      </c>
      <c r="Y190" s="27"/>
      <c r="Z190" s="27" t="s">
        <v>1539</v>
      </c>
      <c r="AA190" s="27" t="s">
        <v>1540</v>
      </c>
      <c r="AB190" s="27" t="s">
        <v>1541</v>
      </c>
      <c r="AC190" s="27" t="s">
        <v>354</v>
      </c>
      <c r="AD190" s="27" t="s">
        <v>1542</v>
      </c>
      <c r="AE190" s="27" t="s">
        <v>1543</v>
      </c>
      <c r="AF190" s="27" t="s">
        <v>1542</v>
      </c>
      <c r="AG190" s="27" t="s">
        <v>1544</v>
      </c>
      <c r="AH190" s="27" t="s">
        <v>1545</v>
      </c>
      <c r="AI190" s="27" t="s">
        <v>1546</v>
      </c>
      <c r="AJ190" s="27" t="s">
        <v>1547</v>
      </c>
      <c r="AK190" s="27" t="s">
        <v>101</v>
      </c>
      <c r="AL190" s="27" t="s">
        <v>1474</v>
      </c>
      <c r="AM190" s="27" t="s">
        <v>1548</v>
      </c>
      <c r="AN190" s="27" t="s">
        <v>2087</v>
      </c>
      <c r="AO190" s="27">
        <v>15</v>
      </c>
      <c r="AP190" s="27">
        <v>14</v>
      </c>
    </row>
    <row r="191" spans="2:42" ht="13.5" thickBot="1">
      <c r="B191" s="3">
        <v>577</v>
      </c>
      <c r="C191" s="3"/>
      <c r="D191" s="122">
        <v>-134.19</v>
      </c>
      <c r="E191" s="4">
        <v>-7.52</v>
      </c>
      <c r="F191" s="5">
        <v>189</v>
      </c>
      <c r="G191">
        <v>-11.5</v>
      </c>
      <c r="H191" s="19">
        <v>14</v>
      </c>
      <c r="I191">
        <v>95</v>
      </c>
      <c r="J191" s="5">
        <v>12</v>
      </c>
      <c r="L191" s="27" t="s">
        <v>2041</v>
      </c>
      <c r="N191" s="3">
        <v>577</v>
      </c>
      <c r="P191" s="27">
        <v>134.19</v>
      </c>
      <c r="Q191">
        <v>-1</v>
      </c>
      <c r="R191" s="4">
        <v>-7.98</v>
      </c>
      <c r="S191" s="19" t="s">
        <v>2042</v>
      </c>
      <c r="U191" s="37">
        <v>13</v>
      </c>
      <c r="V191" s="27" t="s">
        <v>1549</v>
      </c>
      <c r="W191" s="27" t="s">
        <v>1550</v>
      </c>
      <c r="X191" s="27" t="s">
        <v>782</v>
      </c>
      <c r="Y191" s="27" t="s">
        <v>783</v>
      </c>
      <c r="Z191" s="27" t="s">
        <v>1551</v>
      </c>
      <c r="AA191" s="27" t="s">
        <v>1412</v>
      </c>
      <c r="AB191" s="27" t="s">
        <v>1552</v>
      </c>
      <c r="AC191" s="27" t="s">
        <v>1553</v>
      </c>
      <c r="AD191" s="27" t="s">
        <v>1554</v>
      </c>
      <c r="AE191" s="27" t="s">
        <v>1555</v>
      </c>
      <c r="AF191" s="27" t="s">
        <v>1554</v>
      </c>
      <c r="AG191" s="27" t="s">
        <v>1556</v>
      </c>
      <c r="AH191" s="27" t="s">
        <v>1557</v>
      </c>
      <c r="AI191" s="27" t="s">
        <v>1558</v>
      </c>
      <c r="AJ191" s="27" t="s">
        <v>1559</v>
      </c>
      <c r="AK191" s="27" t="s">
        <v>180</v>
      </c>
      <c r="AL191" s="27" t="s">
        <v>2677</v>
      </c>
      <c r="AM191" s="27" t="s">
        <v>1560</v>
      </c>
      <c r="AN191" s="27" t="s">
        <v>1561</v>
      </c>
      <c r="AO191" s="27">
        <v>14.5</v>
      </c>
      <c r="AP191" s="27">
        <v>13</v>
      </c>
    </row>
    <row r="192" spans="2:42" ht="13.5" thickBot="1">
      <c r="B192" s="3">
        <v>578</v>
      </c>
      <c r="C192" s="3">
        <v>101.5</v>
      </c>
      <c r="D192" s="122">
        <v>-134</v>
      </c>
      <c r="E192" s="4">
        <v>-7.51</v>
      </c>
      <c r="F192" s="5">
        <v>190</v>
      </c>
      <c r="G192">
        <v>-11.6</v>
      </c>
      <c r="H192" s="19">
        <v>13.5</v>
      </c>
      <c r="I192">
        <v>94</v>
      </c>
      <c r="J192" s="5">
        <v>11</v>
      </c>
      <c r="L192" s="27" t="s">
        <v>2043</v>
      </c>
      <c r="N192" s="3">
        <v>578</v>
      </c>
      <c r="P192" s="27">
        <v>134</v>
      </c>
      <c r="Q192">
        <v>-1</v>
      </c>
      <c r="R192" s="4">
        <v>-7.96</v>
      </c>
      <c r="S192" s="19" t="s">
        <v>2044</v>
      </c>
      <c r="U192" s="37">
        <v>12</v>
      </c>
      <c r="V192" s="27" t="s">
        <v>1562</v>
      </c>
      <c r="W192" s="27" t="s">
        <v>1563</v>
      </c>
      <c r="X192" s="27" t="s">
        <v>1564</v>
      </c>
      <c r="Y192" s="27" t="s">
        <v>796</v>
      </c>
      <c r="Z192" s="27" t="s">
        <v>1565</v>
      </c>
      <c r="AA192" s="27" t="s">
        <v>1566</v>
      </c>
      <c r="AB192" s="27" t="s">
        <v>1567</v>
      </c>
      <c r="AC192" s="27" t="s">
        <v>1568</v>
      </c>
      <c r="AD192" s="27" t="s">
        <v>1293</v>
      </c>
      <c r="AE192" s="27" t="s">
        <v>1569</v>
      </c>
      <c r="AF192" s="27" t="s">
        <v>1570</v>
      </c>
      <c r="AG192" s="27" t="s">
        <v>1571</v>
      </c>
      <c r="AH192" s="27" t="s">
        <v>1572</v>
      </c>
      <c r="AI192" s="27" t="s">
        <v>1573</v>
      </c>
      <c r="AJ192" s="27" t="s">
        <v>1574</v>
      </c>
      <c r="AK192" s="27" t="s">
        <v>276</v>
      </c>
      <c r="AL192" s="27" t="s">
        <v>1499</v>
      </c>
      <c r="AM192" s="27" t="s">
        <v>1575</v>
      </c>
      <c r="AN192" s="27" t="s">
        <v>2186</v>
      </c>
      <c r="AO192" s="27">
        <v>14</v>
      </c>
      <c r="AP192" s="27">
        <v>12</v>
      </c>
    </row>
    <row r="193" spans="2:42" ht="13.5" thickBot="1">
      <c r="B193" s="3">
        <v>580</v>
      </c>
      <c r="C193" s="3"/>
      <c r="D193" s="122">
        <v>-133.81</v>
      </c>
      <c r="E193" s="4">
        <v>-7.5</v>
      </c>
      <c r="F193" s="5">
        <v>191</v>
      </c>
      <c r="G193">
        <v>-11.7</v>
      </c>
      <c r="H193" s="19">
        <v>13</v>
      </c>
      <c r="I193">
        <v>93</v>
      </c>
      <c r="J193" s="5">
        <v>10</v>
      </c>
      <c r="L193" s="27" t="s">
        <v>2045</v>
      </c>
      <c r="N193" s="3">
        <v>580</v>
      </c>
      <c r="P193" s="27">
        <v>133.81</v>
      </c>
      <c r="Q193">
        <v>-1</v>
      </c>
      <c r="R193" s="4">
        <v>-7.94</v>
      </c>
      <c r="S193" s="19" t="s">
        <v>2046</v>
      </c>
      <c r="U193" s="37">
        <v>11</v>
      </c>
      <c r="V193" s="27" t="s">
        <v>1560</v>
      </c>
      <c r="W193" s="27" t="s">
        <v>1576</v>
      </c>
      <c r="X193" s="27" t="s">
        <v>1577</v>
      </c>
      <c r="Y193" s="27" t="s">
        <v>808</v>
      </c>
      <c r="Z193" s="27" t="s">
        <v>1578</v>
      </c>
      <c r="AA193" s="27" t="s">
        <v>1446</v>
      </c>
      <c r="AB193" s="27" t="s">
        <v>1579</v>
      </c>
      <c r="AC193" s="27" t="s">
        <v>1580</v>
      </c>
      <c r="AD193" s="27" t="s">
        <v>1581</v>
      </c>
      <c r="AE193" s="27" t="s">
        <v>1580</v>
      </c>
      <c r="AF193" s="27" t="s">
        <v>1581</v>
      </c>
      <c r="AG193" s="27" t="s">
        <v>1582</v>
      </c>
      <c r="AH193" s="27" t="s">
        <v>2291</v>
      </c>
      <c r="AI193" s="27" t="s">
        <v>1583</v>
      </c>
      <c r="AJ193" s="27" t="s">
        <v>1584</v>
      </c>
      <c r="AK193" s="27" t="s">
        <v>364</v>
      </c>
      <c r="AL193" s="27" t="s">
        <v>2753</v>
      </c>
      <c r="AM193" s="27" t="s">
        <v>1585</v>
      </c>
      <c r="AN193" s="27" t="s">
        <v>1586</v>
      </c>
      <c r="AO193" s="27">
        <v>13.5</v>
      </c>
      <c r="AP193" s="27">
        <v>11</v>
      </c>
    </row>
    <row r="194" spans="2:42" ht="13.5" thickBot="1">
      <c r="B194" s="3">
        <v>581</v>
      </c>
      <c r="C194" s="3">
        <v>102</v>
      </c>
      <c r="D194" s="122">
        <v>-133.62</v>
      </c>
      <c r="E194" s="4">
        <v>-7.48</v>
      </c>
      <c r="F194" s="5">
        <v>192</v>
      </c>
      <c r="H194" s="19">
        <v>12.5</v>
      </c>
      <c r="I194">
        <v>92</v>
      </c>
      <c r="J194" s="5">
        <v>9</v>
      </c>
      <c r="L194" s="27" t="s">
        <v>2047</v>
      </c>
      <c r="N194" s="3">
        <v>581</v>
      </c>
      <c r="P194" s="27">
        <v>133.62</v>
      </c>
      <c r="Q194">
        <v>-1</v>
      </c>
      <c r="R194" s="4">
        <v>-7.92</v>
      </c>
      <c r="S194" s="19" t="s">
        <v>2048</v>
      </c>
      <c r="U194" s="37">
        <v>10</v>
      </c>
      <c r="V194" s="27" t="s">
        <v>2532</v>
      </c>
      <c r="W194" s="27" t="s">
        <v>1587</v>
      </c>
      <c r="X194" s="27" t="s">
        <v>1588</v>
      </c>
      <c r="Y194" s="27" t="s">
        <v>821</v>
      </c>
      <c r="Z194" s="27" t="s">
        <v>1589</v>
      </c>
      <c r="AA194" s="27" t="s">
        <v>1471</v>
      </c>
      <c r="AB194" s="27" t="s">
        <v>1590</v>
      </c>
      <c r="AC194" s="27" t="s">
        <v>1591</v>
      </c>
      <c r="AD194" s="27" t="s">
        <v>1592</v>
      </c>
      <c r="AE194" s="27" t="s">
        <v>1591</v>
      </c>
      <c r="AF194" s="27" t="s">
        <v>1592</v>
      </c>
      <c r="AG194" s="27" t="s">
        <v>1593</v>
      </c>
      <c r="AH194" s="27" t="s">
        <v>1594</v>
      </c>
      <c r="AI194" s="27" t="s">
        <v>1595</v>
      </c>
      <c r="AJ194" s="27" t="s">
        <v>1596</v>
      </c>
      <c r="AK194" s="27" t="s">
        <v>434</v>
      </c>
      <c r="AL194" s="27" t="s">
        <v>2862</v>
      </c>
      <c r="AM194" s="27" t="s">
        <v>1597</v>
      </c>
      <c r="AN194" s="27" t="s">
        <v>2592</v>
      </c>
      <c r="AO194" s="27">
        <v>13</v>
      </c>
      <c r="AP194" s="27">
        <v>10</v>
      </c>
    </row>
    <row r="195" spans="2:42" ht="13.5" thickBot="1">
      <c r="B195" s="3">
        <v>583</v>
      </c>
      <c r="C195" s="3"/>
      <c r="D195" s="122">
        <v>-133.43</v>
      </c>
      <c r="E195" s="4">
        <v>-7.47</v>
      </c>
      <c r="F195" s="5">
        <v>193</v>
      </c>
      <c r="G195">
        <v>-11.8</v>
      </c>
      <c r="H195" s="19">
        <v>12</v>
      </c>
      <c r="I195">
        <v>91</v>
      </c>
      <c r="J195" s="5">
        <v>8</v>
      </c>
      <c r="L195" s="27" t="s">
        <v>2049</v>
      </c>
      <c r="N195" s="3">
        <v>583</v>
      </c>
      <c r="P195" s="27">
        <v>133.43</v>
      </c>
      <c r="Q195">
        <v>-1</v>
      </c>
      <c r="R195" s="4">
        <v>-7.9</v>
      </c>
      <c r="S195" s="19" t="s">
        <v>2050</v>
      </c>
      <c r="U195" s="37">
        <v>9</v>
      </c>
      <c r="V195" s="27" t="s">
        <v>1598</v>
      </c>
      <c r="W195" s="27"/>
      <c r="X195" s="27" t="s">
        <v>1599</v>
      </c>
      <c r="Y195" s="27" t="s">
        <v>834</v>
      </c>
      <c r="Z195" s="27" t="s">
        <v>1600</v>
      </c>
      <c r="AA195" s="27" t="s">
        <v>1601</v>
      </c>
      <c r="AB195" s="27" t="s">
        <v>1602</v>
      </c>
      <c r="AC195" s="27" t="s">
        <v>1603</v>
      </c>
      <c r="AD195" s="27" t="s">
        <v>1279</v>
      </c>
      <c r="AE195" s="27" t="s">
        <v>1603</v>
      </c>
      <c r="AF195" s="27" t="s">
        <v>1279</v>
      </c>
      <c r="AG195" s="27" t="s">
        <v>1604</v>
      </c>
      <c r="AH195" s="27" t="s">
        <v>1605</v>
      </c>
      <c r="AI195" s="27" t="s">
        <v>1606</v>
      </c>
      <c r="AJ195" s="27" t="s">
        <v>1607</v>
      </c>
      <c r="AK195" s="27" t="s">
        <v>501</v>
      </c>
      <c r="AL195" s="27" t="s">
        <v>113</v>
      </c>
      <c r="AM195" s="27" t="s">
        <v>1406</v>
      </c>
      <c r="AN195" s="27" t="s">
        <v>2415</v>
      </c>
      <c r="AO195" s="27">
        <v>12.5</v>
      </c>
      <c r="AP195" s="27">
        <v>9</v>
      </c>
    </row>
    <row r="196" spans="2:42" ht="13.5" thickBot="1">
      <c r="B196" s="3">
        <v>584</v>
      </c>
      <c r="C196" s="3">
        <v>102.5</v>
      </c>
      <c r="D196" s="122">
        <v>-133.24</v>
      </c>
      <c r="E196" s="4">
        <v>-7.46</v>
      </c>
      <c r="F196" s="5">
        <v>194</v>
      </c>
      <c r="G196">
        <v>-11.9</v>
      </c>
      <c r="H196" s="19">
        <v>11.5</v>
      </c>
      <c r="I196">
        <v>90</v>
      </c>
      <c r="J196" s="5">
        <v>7</v>
      </c>
      <c r="L196" s="27" t="s">
        <v>2051</v>
      </c>
      <c r="N196" s="3">
        <v>584</v>
      </c>
      <c r="P196" s="27">
        <v>133.24</v>
      </c>
      <c r="Q196">
        <v>-1</v>
      </c>
      <c r="R196" s="4">
        <v>-7.88</v>
      </c>
      <c r="S196" s="19" t="s">
        <v>2052</v>
      </c>
      <c r="U196" s="37">
        <v>8</v>
      </c>
      <c r="V196" s="27" t="s">
        <v>2126</v>
      </c>
      <c r="W196" s="27" t="s">
        <v>2127</v>
      </c>
      <c r="X196" s="27" t="s">
        <v>1608</v>
      </c>
      <c r="Y196" s="27" t="s">
        <v>847</v>
      </c>
      <c r="Z196" s="27" t="s">
        <v>1609</v>
      </c>
      <c r="AA196" s="27" t="s">
        <v>1610</v>
      </c>
      <c r="AB196" s="27" t="s">
        <v>1611</v>
      </c>
      <c r="AC196" s="27" t="s">
        <v>1612</v>
      </c>
      <c r="AD196" s="27" t="s">
        <v>1613</v>
      </c>
      <c r="AE196" s="27" t="s">
        <v>1612</v>
      </c>
      <c r="AF196" s="27" t="s">
        <v>1613</v>
      </c>
      <c r="AG196" s="27" t="s">
        <v>1614</v>
      </c>
      <c r="AH196" s="27" t="s">
        <v>1615</v>
      </c>
      <c r="AI196" s="27" t="s">
        <v>1616</v>
      </c>
      <c r="AJ196" s="27" t="s">
        <v>1617</v>
      </c>
      <c r="AK196" s="27" t="s">
        <v>578</v>
      </c>
      <c r="AL196" s="27" t="s">
        <v>260</v>
      </c>
      <c r="AM196" s="27" t="s">
        <v>2647</v>
      </c>
      <c r="AN196" s="27" t="s">
        <v>1536</v>
      </c>
      <c r="AO196" s="27">
        <v>12</v>
      </c>
      <c r="AP196" s="27">
        <v>8</v>
      </c>
    </row>
    <row r="197" spans="2:42" ht="13.5" thickBot="1">
      <c r="B197" s="3">
        <v>585</v>
      </c>
      <c r="C197" s="3"/>
      <c r="D197" s="122">
        <v>-133.05000000000001</v>
      </c>
      <c r="E197" s="4">
        <v>-7.44</v>
      </c>
      <c r="F197" s="5">
        <v>195</v>
      </c>
      <c r="G197">
        <v>-12</v>
      </c>
      <c r="H197" s="19">
        <v>11</v>
      </c>
      <c r="I197">
        <v>88</v>
      </c>
      <c r="J197" s="5">
        <v>6</v>
      </c>
      <c r="L197" s="27" t="s">
        <v>2053</v>
      </c>
      <c r="N197" s="3">
        <v>585</v>
      </c>
      <c r="P197" s="27">
        <v>133.05000000000001</v>
      </c>
      <c r="Q197">
        <v>-1</v>
      </c>
      <c r="R197" s="4">
        <v>-7.86</v>
      </c>
      <c r="S197" s="19" t="s">
        <v>2054</v>
      </c>
      <c r="U197" s="37">
        <v>7</v>
      </c>
      <c r="V197" s="27" t="s">
        <v>2178</v>
      </c>
      <c r="W197" s="27" t="s">
        <v>2191</v>
      </c>
      <c r="X197" s="27" t="s">
        <v>1618</v>
      </c>
      <c r="Y197" s="27" t="s">
        <v>858</v>
      </c>
      <c r="Z197" s="27" t="s">
        <v>1619</v>
      </c>
      <c r="AA197" s="27" t="s">
        <v>1620</v>
      </c>
      <c r="AB197" s="27" t="s">
        <v>1621</v>
      </c>
      <c r="AC197" s="27" t="s">
        <v>1622</v>
      </c>
      <c r="AD197" s="27" t="s">
        <v>1623</v>
      </c>
      <c r="AE197" s="27" t="s">
        <v>1622</v>
      </c>
      <c r="AF197" s="27" t="s">
        <v>1623</v>
      </c>
      <c r="AG197" s="27" t="s">
        <v>1624</v>
      </c>
      <c r="AH197" s="27" t="s">
        <v>1625</v>
      </c>
      <c r="AI197" s="27" t="s">
        <v>1626</v>
      </c>
      <c r="AJ197" s="27" t="s">
        <v>1627</v>
      </c>
      <c r="AK197" s="27" t="s">
        <v>656</v>
      </c>
      <c r="AL197" s="27" t="s">
        <v>387</v>
      </c>
      <c r="AM197" s="27" t="s">
        <v>2755</v>
      </c>
      <c r="AN197" s="27" t="s">
        <v>1628</v>
      </c>
      <c r="AO197" s="27">
        <v>11.5</v>
      </c>
      <c r="AP197" s="27">
        <v>7</v>
      </c>
    </row>
    <row r="198" spans="2:42" ht="13.5" thickBot="1">
      <c r="B198" s="3">
        <v>587</v>
      </c>
      <c r="C198" s="3">
        <v>103</v>
      </c>
      <c r="D198" s="122">
        <v>-132.86000000000001</v>
      </c>
      <c r="E198" s="4">
        <v>-7.43</v>
      </c>
      <c r="F198" s="5">
        <v>196</v>
      </c>
      <c r="G198">
        <v>-12.1</v>
      </c>
      <c r="H198" s="19">
        <v>10.5</v>
      </c>
      <c r="I198">
        <v>87</v>
      </c>
      <c r="J198" s="5">
        <v>5</v>
      </c>
      <c r="L198" s="27" t="s">
        <v>2055</v>
      </c>
      <c r="N198" s="3">
        <v>587</v>
      </c>
      <c r="P198" s="27">
        <v>132.86000000000001</v>
      </c>
      <c r="Q198">
        <v>-1</v>
      </c>
      <c r="R198" s="4">
        <v>-7.84</v>
      </c>
      <c r="S198" s="19" t="s">
        <v>2056</v>
      </c>
      <c r="U198" s="37">
        <v>6</v>
      </c>
      <c r="V198" s="27" t="s">
        <v>1536</v>
      </c>
      <c r="W198" s="27" t="s">
        <v>2242</v>
      </c>
      <c r="X198" s="27" t="s">
        <v>1629</v>
      </c>
      <c r="Y198" s="27" t="s">
        <v>869</v>
      </c>
      <c r="Z198" s="27" t="s">
        <v>1630</v>
      </c>
      <c r="AA198" s="27" t="s">
        <v>1631</v>
      </c>
      <c r="AB198" s="27" t="s">
        <v>1632</v>
      </c>
      <c r="AC198" s="27" t="s">
        <v>1633</v>
      </c>
      <c r="AD198" s="27" t="s">
        <v>1634</v>
      </c>
      <c r="AE198" s="27" t="s">
        <v>1635</v>
      </c>
      <c r="AF198" s="27" t="s">
        <v>1634</v>
      </c>
      <c r="AG198" s="27" t="s">
        <v>1636</v>
      </c>
      <c r="AH198" s="27" t="s">
        <v>1637</v>
      </c>
      <c r="AI198" s="27" t="s">
        <v>1638</v>
      </c>
      <c r="AJ198" s="27" t="s">
        <v>1639</v>
      </c>
      <c r="AK198" s="27" t="s">
        <v>710</v>
      </c>
      <c r="AL198" s="27" t="s">
        <v>501</v>
      </c>
      <c r="AM198" s="27" t="s">
        <v>2768</v>
      </c>
      <c r="AN198" s="27" t="s">
        <v>2544</v>
      </c>
      <c r="AO198" s="27">
        <v>11</v>
      </c>
      <c r="AP198" s="27">
        <v>6</v>
      </c>
    </row>
    <row r="199" spans="2:42" ht="13.5" thickBot="1">
      <c r="B199" s="3">
        <v>588</v>
      </c>
      <c r="C199" s="3"/>
      <c r="D199" s="122">
        <v>-132.66999999999999</v>
      </c>
      <c r="E199" s="4">
        <v>-7.42</v>
      </c>
      <c r="F199" s="5">
        <v>197</v>
      </c>
      <c r="G199">
        <v>-12.2</v>
      </c>
      <c r="H199" s="19">
        <v>10</v>
      </c>
      <c r="I199">
        <v>85</v>
      </c>
      <c r="J199" s="5">
        <v>4</v>
      </c>
      <c r="L199" s="27" t="s">
        <v>2057</v>
      </c>
      <c r="N199" s="3">
        <v>588</v>
      </c>
      <c r="P199" s="27">
        <v>132.66999999999999</v>
      </c>
      <c r="Q199">
        <v>-1</v>
      </c>
      <c r="R199" s="4">
        <v>-7.82</v>
      </c>
      <c r="S199" s="19" t="s">
        <v>2058</v>
      </c>
      <c r="U199" s="37">
        <v>5</v>
      </c>
      <c r="V199" s="27" t="s">
        <v>2279</v>
      </c>
      <c r="W199" s="27" t="s">
        <v>2306</v>
      </c>
      <c r="X199" s="27" t="s">
        <v>1640</v>
      </c>
      <c r="Y199" s="27" t="s">
        <v>881</v>
      </c>
      <c r="Z199" s="27" t="s">
        <v>1641</v>
      </c>
      <c r="AA199" s="27" t="s">
        <v>2291</v>
      </c>
      <c r="AB199" s="27" t="s">
        <v>1642</v>
      </c>
      <c r="AC199" s="27" t="s">
        <v>1643</v>
      </c>
      <c r="AD199" s="27" t="s">
        <v>1644</v>
      </c>
      <c r="AE199" s="27" t="s">
        <v>669</v>
      </c>
      <c r="AF199" s="27" t="s">
        <v>1645</v>
      </c>
      <c r="AG199" s="27" t="s">
        <v>1646</v>
      </c>
      <c r="AH199" s="27" t="s">
        <v>1647</v>
      </c>
      <c r="AI199" s="27" t="s">
        <v>1648</v>
      </c>
      <c r="AJ199" s="27" t="s">
        <v>1649</v>
      </c>
      <c r="AK199" s="27" t="s">
        <v>1650</v>
      </c>
      <c r="AL199" s="27" t="s">
        <v>611</v>
      </c>
      <c r="AM199" s="27" t="s">
        <v>2850</v>
      </c>
      <c r="AN199" s="27" t="s">
        <v>1651</v>
      </c>
      <c r="AO199" s="27">
        <v>10.5</v>
      </c>
      <c r="AP199" s="27">
        <v>5</v>
      </c>
    </row>
    <row r="200" spans="2:42" ht="13.5" thickBot="1">
      <c r="B200" s="3">
        <v>590</v>
      </c>
      <c r="C200" s="3">
        <v>103.5</v>
      </c>
      <c r="D200" s="122">
        <v>-132.47999999999999</v>
      </c>
      <c r="E200" s="4">
        <v>-7.4</v>
      </c>
      <c r="F200" s="5">
        <v>198</v>
      </c>
      <c r="G200">
        <v>-12.3</v>
      </c>
      <c r="H200" s="19">
        <v>9.5</v>
      </c>
      <c r="I200">
        <v>84</v>
      </c>
      <c r="J200" s="5">
        <v>3</v>
      </c>
      <c r="L200" s="27" t="s">
        <v>2059</v>
      </c>
      <c r="N200" s="3">
        <v>590</v>
      </c>
      <c r="P200" s="27">
        <v>132.47999999999999</v>
      </c>
      <c r="Q200">
        <v>-1</v>
      </c>
      <c r="R200" s="4">
        <v>-7.8</v>
      </c>
      <c r="S200" s="19">
        <v>9.5</v>
      </c>
      <c r="U200" s="37">
        <v>4</v>
      </c>
      <c r="V200" s="27" t="s">
        <v>1524</v>
      </c>
      <c r="W200" s="27" t="s">
        <v>2359</v>
      </c>
      <c r="X200" s="27" t="s">
        <v>904</v>
      </c>
      <c r="Y200" s="27" t="s">
        <v>905</v>
      </c>
      <c r="Z200" s="27" t="s">
        <v>1652</v>
      </c>
      <c r="AA200" s="27" t="s">
        <v>1653</v>
      </c>
      <c r="AB200" s="27" t="s">
        <v>1654</v>
      </c>
      <c r="AC200" s="27" t="s">
        <v>1655</v>
      </c>
      <c r="AD200" s="27" t="s">
        <v>1656</v>
      </c>
      <c r="AE200" s="27" t="s">
        <v>1657</v>
      </c>
      <c r="AF200" s="27" t="s">
        <v>1658</v>
      </c>
      <c r="AG200" s="27" t="s">
        <v>1659</v>
      </c>
      <c r="AH200" s="27" t="s">
        <v>1660</v>
      </c>
      <c r="AI200" s="27" t="s">
        <v>1661</v>
      </c>
      <c r="AJ200" s="27" t="s">
        <v>1662</v>
      </c>
      <c r="AK200" s="27" t="s">
        <v>1663</v>
      </c>
      <c r="AL200" s="27" t="s">
        <v>1664</v>
      </c>
      <c r="AM200" s="27" t="s">
        <v>76</v>
      </c>
      <c r="AN200" s="27" t="s">
        <v>2663</v>
      </c>
      <c r="AO200" s="27">
        <v>10</v>
      </c>
      <c r="AP200" s="27">
        <v>4</v>
      </c>
    </row>
    <row r="201" spans="2:42" ht="13.5" thickBot="1">
      <c r="B201" s="3">
        <v>591</v>
      </c>
      <c r="C201" s="3"/>
      <c r="D201" s="122">
        <v>-132.29</v>
      </c>
      <c r="E201" s="4">
        <v>-7.39</v>
      </c>
      <c r="F201" s="5">
        <v>199</v>
      </c>
      <c r="G201">
        <v>-12.4</v>
      </c>
      <c r="H201" s="19">
        <v>9</v>
      </c>
      <c r="I201">
        <v>82</v>
      </c>
      <c r="J201" s="5">
        <v>2</v>
      </c>
      <c r="L201" s="27" t="s">
        <v>2060</v>
      </c>
      <c r="N201" s="3">
        <v>591</v>
      </c>
      <c r="P201" s="27">
        <v>132.29</v>
      </c>
      <c r="Q201">
        <v>-1</v>
      </c>
      <c r="S201" s="19">
        <v>9</v>
      </c>
      <c r="U201" s="37">
        <v>3</v>
      </c>
      <c r="V201" s="27" t="s">
        <v>2396</v>
      </c>
      <c r="W201" s="27" t="s">
        <v>2416</v>
      </c>
      <c r="X201" s="27" t="s">
        <v>899</v>
      </c>
      <c r="Y201" s="27" t="s">
        <v>917</v>
      </c>
      <c r="Z201" s="27" t="s">
        <v>1665</v>
      </c>
      <c r="AA201" s="27" t="s">
        <v>1666</v>
      </c>
      <c r="AB201" s="27" t="s">
        <v>1667</v>
      </c>
      <c r="AC201" s="27" t="s">
        <v>1668</v>
      </c>
      <c r="AD201" s="27" t="s">
        <v>1229</v>
      </c>
      <c r="AE201" s="27" t="s">
        <v>1669</v>
      </c>
      <c r="AF201" s="27" t="s">
        <v>1670</v>
      </c>
      <c r="AG201" s="27" t="s">
        <v>1671</v>
      </c>
      <c r="AH201" s="27" t="s">
        <v>1672</v>
      </c>
      <c r="AI201" s="27" t="s">
        <v>1673</v>
      </c>
      <c r="AJ201" s="27" t="s">
        <v>1674</v>
      </c>
      <c r="AK201" s="27" t="s">
        <v>1675</v>
      </c>
      <c r="AL201" s="27" t="s">
        <v>1650</v>
      </c>
      <c r="AM201" s="27" t="s">
        <v>169</v>
      </c>
      <c r="AN201" s="27" t="s">
        <v>2768</v>
      </c>
      <c r="AO201" s="27">
        <v>9.5</v>
      </c>
      <c r="AP201" s="27">
        <v>3</v>
      </c>
    </row>
    <row r="202" spans="2:42" ht="13.5" thickBot="1">
      <c r="B202" s="3">
        <v>593</v>
      </c>
      <c r="C202" s="3">
        <v>104</v>
      </c>
      <c r="D202" s="122">
        <v>-132.11000000000001</v>
      </c>
      <c r="E202" s="4">
        <v>-7.38</v>
      </c>
      <c r="F202" s="5">
        <v>200</v>
      </c>
      <c r="G202">
        <v>-12.5</v>
      </c>
      <c r="H202" s="19">
        <v>8</v>
      </c>
      <c r="I202">
        <v>80</v>
      </c>
      <c r="J202" s="5">
        <v>1</v>
      </c>
      <c r="L202" s="27" t="s">
        <v>2061</v>
      </c>
      <c r="N202" s="3">
        <v>593</v>
      </c>
      <c r="P202" s="27">
        <v>132.11000000000001</v>
      </c>
      <c r="Q202">
        <v>-1</v>
      </c>
      <c r="S202" s="19">
        <v>8</v>
      </c>
      <c r="U202" s="37">
        <v>2</v>
      </c>
      <c r="V202" s="27" t="s">
        <v>2452</v>
      </c>
      <c r="W202" s="27" t="s">
        <v>2466</v>
      </c>
      <c r="X202" s="27" t="s">
        <v>1676</v>
      </c>
      <c r="Y202" s="27" t="s">
        <v>941</v>
      </c>
      <c r="Z202" s="27" t="s">
        <v>1677</v>
      </c>
      <c r="AA202" s="27" t="s">
        <v>1637</v>
      </c>
      <c r="AB202" s="27" t="s">
        <v>1678</v>
      </c>
      <c r="AC202" s="27" t="s">
        <v>1679</v>
      </c>
      <c r="AD202" s="27" t="s">
        <v>1680</v>
      </c>
      <c r="AE202" s="27" t="s">
        <v>1681</v>
      </c>
      <c r="AF202" s="27" t="s">
        <v>1682</v>
      </c>
      <c r="AG202" s="27" t="s">
        <v>1683</v>
      </c>
      <c r="AH202" s="27" t="s">
        <v>1684</v>
      </c>
      <c r="AI202" s="27" t="s">
        <v>1685</v>
      </c>
      <c r="AJ202" s="27" t="s">
        <v>1686</v>
      </c>
      <c r="AK202" s="27" t="s">
        <v>966</v>
      </c>
      <c r="AL202" s="27" t="s">
        <v>849</v>
      </c>
      <c r="AM202" s="27" t="s">
        <v>505</v>
      </c>
      <c r="AN202" s="27" t="s">
        <v>35</v>
      </c>
      <c r="AO202" s="27">
        <v>9</v>
      </c>
      <c r="AP202" s="27">
        <v>2</v>
      </c>
    </row>
    <row r="203" spans="2:42" ht="13.5" thickBot="1">
      <c r="B203">
        <v>0</v>
      </c>
      <c r="C203" s="3">
        <v>0</v>
      </c>
      <c r="D203" s="3">
        <v>0</v>
      </c>
      <c r="E203" s="3">
        <v>0</v>
      </c>
      <c r="F203" s="5">
        <v>0</v>
      </c>
      <c r="H203" s="19">
        <v>0</v>
      </c>
      <c r="I203">
        <v>0</v>
      </c>
      <c r="J203" s="5">
        <v>0</v>
      </c>
      <c r="L203" s="27">
        <v>7.38</v>
      </c>
      <c r="N203" s="3"/>
      <c r="U203" s="37">
        <v>1</v>
      </c>
      <c r="V203" s="27" t="s">
        <v>1687</v>
      </c>
      <c r="W203" s="27" t="s">
        <v>2509</v>
      </c>
      <c r="X203" s="27" t="s">
        <v>1688</v>
      </c>
      <c r="Y203" s="27" t="s">
        <v>962</v>
      </c>
      <c r="Z203" s="27" t="s">
        <v>1689</v>
      </c>
      <c r="AA203" s="27" t="s">
        <v>1690</v>
      </c>
      <c r="AB203" s="27" t="s">
        <v>1691</v>
      </c>
      <c r="AC203" s="27" t="s">
        <v>1692</v>
      </c>
      <c r="AD203" s="27" t="s">
        <v>1693</v>
      </c>
      <c r="AE203" s="27" t="s">
        <v>558</v>
      </c>
      <c r="AF203" s="27" t="s">
        <v>1693</v>
      </c>
      <c r="AG203" s="27" t="s">
        <v>1694</v>
      </c>
      <c r="AH203" s="27" t="s">
        <v>1695</v>
      </c>
      <c r="AI203" s="27" t="s">
        <v>1696</v>
      </c>
      <c r="AJ203" s="27" t="s">
        <v>1697</v>
      </c>
      <c r="AK203" s="27" t="s">
        <v>1698</v>
      </c>
      <c r="AL203" s="27" t="s">
        <v>1699</v>
      </c>
      <c r="AM203" s="27" t="s">
        <v>2854</v>
      </c>
      <c r="AN203" s="27" t="s">
        <v>377</v>
      </c>
      <c r="AO203" s="27">
        <v>8</v>
      </c>
      <c r="AP203" s="27">
        <v>1</v>
      </c>
    </row>
    <row r="204" spans="2:42">
      <c r="C204" s="3"/>
      <c r="H204" s="3"/>
      <c r="I204" s="3"/>
    </row>
    <row r="205" spans="2:42">
      <c r="C205" s="3"/>
      <c r="H205" s="3"/>
      <c r="I205" s="3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E346"/>
  <sheetViews>
    <sheetView showGridLines="0" zoomScale="84" zoomScaleNormal="84" zoomScaleSheetLayoutView="100" workbookViewId="0">
      <selection activeCell="K51" sqref="K51"/>
    </sheetView>
  </sheetViews>
  <sheetFormatPr defaultRowHeight="15"/>
  <cols>
    <col min="1" max="1" width="18.28515625" bestFit="1" customWidth="1"/>
    <col min="2" max="2" width="32.140625" style="64" bestFit="1" customWidth="1"/>
    <col min="3" max="3" width="12.7109375" style="114" bestFit="1" customWidth="1"/>
    <col min="4" max="4" width="17.42578125" style="75" bestFit="1" customWidth="1"/>
    <col min="5" max="5" width="13" style="75" bestFit="1" customWidth="1"/>
    <col min="6" max="6" width="10.85546875" style="75" bestFit="1" customWidth="1"/>
    <col min="7" max="7" width="14.85546875" style="75" bestFit="1" customWidth="1"/>
    <col min="8" max="8" width="13.5703125" style="75" bestFit="1" customWidth="1"/>
    <col min="9" max="9" width="13.7109375" style="75" bestFit="1" customWidth="1"/>
    <col min="10" max="10" width="13.140625" style="75" bestFit="1" customWidth="1"/>
    <col min="11" max="11" width="11.42578125" style="75" bestFit="1" customWidth="1"/>
    <col min="12" max="12" width="12.42578125" style="75" bestFit="1" customWidth="1"/>
    <col min="13" max="13" width="16" style="114" bestFit="1" customWidth="1"/>
    <col min="14" max="14" width="10.7109375" style="114" bestFit="1" customWidth="1"/>
    <col min="15" max="15" width="2" style="17" hidden="1" customWidth="1"/>
    <col min="16" max="16" width="8" hidden="1" customWidth="1"/>
    <col min="17" max="31" width="9.140625" style="9"/>
  </cols>
  <sheetData>
    <row r="1" spans="1:16" ht="12.75">
      <c r="A1" s="124" t="s">
        <v>1700</v>
      </c>
      <c r="B1" s="125"/>
      <c r="C1" s="101" t="str">
        <f>A7</f>
        <v>SP14 Warszawa</v>
      </c>
      <c r="D1" s="101" t="str">
        <f>A14</f>
        <v>SP204 Warszawa</v>
      </c>
      <c r="E1" s="101" t="str">
        <f>A21</f>
        <v>PSP 2 Radom</v>
      </c>
      <c r="F1" s="101" t="str">
        <f>A28</f>
        <v>SP2 Ostrów Maz.</v>
      </c>
      <c r="G1" s="101" t="str">
        <f>A35</f>
        <v>SP2 Chorzele</v>
      </c>
      <c r="H1" s="101" t="str">
        <f>A42</f>
        <v>SP Bieniewice</v>
      </c>
      <c r="I1" s="101" t="str">
        <f>A49</f>
        <v>SP2 Węgrów</v>
      </c>
      <c r="J1" s="101" t="str">
        <f>A56</f>
        <v>SP11 Siedlce</v>
      </c>
      <c r="K1" s="101" t="str">
        <f>A63</f>
        <v>SP Podkowa Leśna</v>
      </c>
      <c r="L1" s="101" t="str">
        <f>A70</f>
        <v>ZSP Lesznowola</v>
      </c>
      <c r="M1" s="101" t="str">
        <f>A77</f>
        <v>SP3 Piaseczno</v>
      </c>
      <c r="N1" s="101" t="str">
        <f>A84</f>
        <v>ZSP Jedlińsk</v>
      </c>
      <c r="O1" s="14"/>
      <c r="P1" s="9"/>
    </row>
    <row r="2" spans="1:16" ht="12.75">
      <c r="A2" s="125"/>
      <c r="B2" s="125"/>
      <c r="C2" s="101">
        <f>A91</f>
        <v>0</v>
      </c>
      <c r="D2" s="101">
        <f>A98</f>
        <v>0</v>
      </c>
      <c r="E2" s="101">
        <f>A105</f>
        <v>0</v>
      </c>
      <c r="F2" s="101">
        <f>A112</f>
        <v>0</v>
      </c>
      <c r="G2" s="101">
        <f>A119</f>
        <v>0</v>
      </c>
      <c r="H2" s="101">
        <f>A126</f>
        <v>0</v>
      </c>
      <c r="I2" s="101">
        <f>A133</f>
        <v>0</v>
      </c>
      <c r="J2" s="101">
        <f>A140</f>
        <v>0</v>
      </c>
      <c r="K2" s="101">
        <f>A147</f>
        <v>0</v>
      </c>
      <c r="L2" s="101">
        <f>A154</f>
        <v>0</v>
      </c>
      <c r="M2" s="101">
        <f>A161</f>
        <v>0</v>
      </c>
      <c r="N2" s="101">
        <f>A168</f>
        <v>0</v>
      </c>
      <c r="O2" s="14"/>
      <c r="P2" s="9"/>
    </row>
    <row r="3" spans="1:16" ht="12.75">
      <c r="A3" s="125"/>
      <c r="B3" s="125"/>
      <c r="C3" s="101">
        <f>A175</f>
        <v>0</v>
      </c>
      <c r="D3" s="101">
        <f>A182</f>
        <v>0</v>
      </c>
      <c r="E3" s="101">
        <f>A189</f>
        <v>0</v>
      </c>
      <c r="F3" s="101">
        <f>A196</f>
        <v>0</v>
      </c>
      <c r="G3" s="101">
        <f>A203</f>
        <v>0</v>
      </c>
      <c r="H3" s="101">
        <f>A210</f>
        <v>0</v>
      </c>
      <c r="I3" s="101">
        <f>A217</f>
        <v>0</v>
      </c>
      <c r="J3" s="101">
        <f>A224</f>
        <v>0</v>
      </c>
      <c r="K3" s="101">
        <f>A231</f>
        <v>0</v>
      </c>
      <c r="L3" s="101">
        <f>A238</f>
        <v>0</v>
      </c>
      <c r="M3" s="101">
        <f>A245</f>
        <v>0</v>
      </c>
      <c r="N3" s="101">
        <f>A252</f>
        <v>0</v>
      </c>
      <c r="O3" s="14"/>
      <c r="P3" s="9"/>
    </row>
    <row r="4" spans="1:16" ht="12.75">
      <c r="A4" s="125"/>
      <c r="B4" s="125"/>
      <c r="C4" s="101">
        <f>A259</f>
        <v>0</v>
      </c>
      <c r="D4" s="101">
        <f>A266</f>
        <v>0</v>
      </c>
      <c r="E4" s="101">
        <f>A273</f>
        <v>0</v>
      </c>
      <c r="F4" s="101">
        <f>A280</f>
        <v>0</v>
      </c>
      <c r="G4" s="102"/>
      <c r="H4" s="101"/>
      <c r="I4" s="102"/>
      <c r="J4" s="101"/>
      <c r="K4" s="102"/>
      <c r="L4" s="101"/>
      <c r="M4" s="102"/>
      <c r="N4" s="102"/>
      <c r="O4" s="14"/>
      <c r="P4" s="9"/>
    </row>
    <row r="5" spans="1:16" ht="12.75">
      <c r="A5" s="125"/>
      <c r="B5" s="125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4"/>
      <c r="P5" s="9"/>
    </row>
    <row r="6" spans="1:16" ht="15.75" thickBot="1">
      <c r="A6" s="125"/>
      <c r="B6" s="125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3"/>
      <c r="N6" s="103"/>
      <c r="O6" s="14"/>
      <c r="P6" s="9"/>
    </row>
    <row r="7" spans="1:16" ht="16.5" thickTop="1" thickBot="1">
      <c r="A7" s="13" t="str">
        <f>szkoły!A2</f>
        <v>SP14 Warszawa</v>
      </c>
      <c r="B7" s="60" t="s">
        <v>1713</v>
      </c>
      <c r="C7" s="21" t="s">
        <v>1710</v>
      </c>
      <c r="D7" s="23" t="s">
        <v>1714</v>
      </c>
      <c r="E7" s="24" t="s">
        <v>1715</v>
      </c>
      <c r="F7" s="23" t="s">
        <v>1714</v>
      </c>
      <c r="G7" s="23" t="s">
        <v>1712</v>
      </c>
      <c r="H7" s="23" t="s">
        <v>1714</v>
      </c>
      <c r="I7" s="23" t="s">
        <v>1708</v>
      </c>
      <c r="J7" s="23" t="s">
        <v>1714</v>
      </c>
      <c r="K7" s="25" t="s">
        <v>1724</v>
      </c>
      <c r="L7" s="23" t="s">
        <v>1714</v>
      </c>
      <c r="M7" s="22" t="s">
        <v>1716</v>
      </c>
      <c r="N7" s="22" t="s">
        <v>1717</v>
      </c>
      <c r="O7" s="14"/>
      <c r="P7" s="9"/>
    </row>
    <row r="8" spans="1:16" ht="18" thickTop="1" thickBot="1">
      <c r="A8" s="7"/>
      <c r="B8" s="61" t="str">
        <f>szkoły!A3</f>
        <v>Anielska Aleksandra</v>
      </c>
      <c r="C8" s="105">
        <v>10.18</v>
      </c>
      <c r="D8" s="106">
        <f>IF(C8&gt;="",0,IF(C8&gt;12.75,0,IF(C8&lt;7.38,(200+(7.38-C8)*100),VLOOKUP(-C8,baza!$E$3:$F$202,2,1))))</f>
        <v>44</v>
      </c>
      <c r="E8" s="105">
        <v>18</v>
      </c>
      <c r="F8" s="106">
        <f>IF(E8&lt;8,0,IF(E8&gt;77,(200+(E8-77)*2),VLOOKUP(E8,baza!$H$3:$J$202,3,0)))</f>
        <v>20</v>
      </c>
      <c r="G8" s="107"/>
      <c r="H8" s="106">
        <f>IF(G8&lt;80,0,IF(G8&gt;179,200+(G8-179),VLOOKUP(G8,baza!$I:$J,2,0)))</f>
        <v>0</v>
      </c>
      <c r="I8" s="107">
        <v>365</v>
      </c>
      <c r="J8" s="106">
        <f>IF(I8&lt;210,0,IF(I8&gt;593,(200+(I8-593)*2),VLOOKUP(I8,baza!$B$3:$F$202,5,1)))</f>
        <v>42</v>
      </c>
      <c r="K8" s="108">
        <v>214.06</v>
      </c>
      <c r="L8" s="106">
        <f>IF(K8="",0,IF(K8&gt;(-1*baza!$D$3),0,IF(K8&lt;132.11,INT(200+(132.11-K8)*5),VLOOKUP(-K8,baza!$D$1:$F$203,3,1))))</f>
        <v>48</v>
      </c>
      <c r="M8" s="109">
        <f t="shared" ref="M8:M13" si="0">(D8+F8+H8+J8)</f>
        <v>106</v>
      </c>
      <c r="N8" s="110">
        <f t="shared" ref="N8:N13" si="1">M8+L8</f>
        <v>154</v>
      </c>
      <c r="O8" s="14"/>
      <c r="P8" s="9"/>
    </row>
    <row r="9" spans="1:16" ht="18" thickTop="1" thickBot="1">
      <c r="A9" s="29" t="str">
        <f>O12 &amp; "  " &amp; "I DZIEŃ"</f>
        <v>959  I DZIEŃ</v>
      </c>
      <c r="B9" s="61" t="str">
        <f>szkoły!A4</f>
        <v>Dłużewska Julia</v>
      </c>
      <c r="C9" s="105">
        <v>9.2799999999999994</v>
      </c>
      <c r="D9" s="106">
        <f>IF(C9&gt;="",0,IF(C9&gt;12.75,0,IF(C9&lt;7.38,(200+(7.38-C9)*100),VLOOKUP(-C9,baza!$E$3:$F$202,2,1))))</f>
        <v>68</v>
      </c>
      <c r="E9" s="105">
        <v>27</v>
      </c>
      <c r="F9" s="106">
        <f>IF(E9&lt;8,0,IF(E9&gt;77,(200+(E9-77)*2),VLOOKUP(E9,baza!$H$3:$J$202,3,0)))</f>
        <v>39</v>
      </c>
      <c r="G9" s="107"/>
      <c r="H9" s="106">
        <f>IF(G9&lt;80,0,IF(G9&gt;179,200+(G9-179),VLOOKUP(G9,baza!$I:$J,2,0)))</f>
        <v>0</v>
      </c>
      <c r="I9" s="107">
        <v>411</v>
      </c>
      <c r="J9" s="106">
        <f>IF(I9&lt;210,0,IF(I9&gt;593,(200+(I9-593)*2),VLOOKUP(I9,baza!$B$3:$F$202,5,1)))</f>
        <v>59</v>
      </c>
      <c r="K9" s="108">
        <v>205.1</v>
      </c>
      <c r="L9" s="106">
        <f>IF(K9="",0,IF(K9&gt;(-1*baza!$D$3),0,IF(K9&lt;132.11,INT(200+(132.11-K9)*5),VLOOKUP(-K9,baza!$D$1:$F$203,3,1))))</f>
        <v>64</v>
      </c>
      <c r="M9" s="109">
        <f t="shared" si="0"/>
        <v>166</v>
      </c>
      <c r="N9" s="110">
        <f t="shared" si="1"/>
        <v>230</v>
      </c>
      <c r="O9" s="14"/>
      <c r="P9" s="9"/>
    </row>
    <row r="10" spans="1:16" ht="18" thickTop="1" thickBot="1">
      <c r="A10" s="29" t="str">
        <f>O13 &amp; "  " &amp; "II DZIEŃ"</f>
        <v>1127  II DZIEŃ</v>
      </c>
      <c r="B10" s="61" t="str">
        <f>szkoły!A5</f>
        <v>Glegoła Paulia</v>
      </c>
      <c r="C10" s="105">
        <v>9.4600000000000009</v>
      </c>
      <c r="D10" s="106">
        <f>IF(C10&gt;="",0,IF(C10&gt;12.75,0,IF(C10&lt;7.38,(200+(7.38-C10)*100),VLOOKUP(-C10,baza!$E$3:$F$202,2,1))))</f>
        <v>62</v>
      </c>
      <c r="E10" s="105">
        <v>41</v>
      </c>
      <c r="F10" s="106">
        <f>IF(E10&lt;8,0,IF(E10&gt;77,(200+(E10-77)*2),VLOOKUP(E10,baza!$H$3:$J$202,3,0)))</f>
        <v>75</v>
      </c>
      <c r="G10" s="107"/>
      <c r="H10" s="106">
        <f>IF(G10&lt;80,0,IF(G10&gt;179,200+(G10-179),VLOOKUP(G10,baza!$I:$J,2,0)))</f>
        <v>0</v>
      </c>
      <c r="I10" s="107">
        <v>400</v>
      </c>
      <c r="J10" s="106">
        <f>IF(I10&lt;210,0,IF(I10&gt;593,(200+(I10-593)*2),VLOOKUP(I10,baza!$B$3:$F$202,5,1)))</f>
        <v>54</v>
      </c>
      <c r="K10" s="108">
        <v>226.06</v>
      </c>
      <c r="L10" s="106">
        <f>IF(K10="",0,IF(K10&gt;(-1*baza!$D$3),0,IF(K10&lt;132.11,INT(200+(132.11-K10)*5),VLOOKUP(-K10,baza!$D$1:$F$203,3,1))))</f>
        <v>26</v>
      </c>
      <c r="M10" s="109">
        <f t="shared" si="0"/>
        <v>191</v>
      </c>
      <c r="N10" s="110">
        <f t="shared" si="1"/>
        <v>217</v>
      </c>
      <c r="O10" s="14"/>
      <c r="P10" s="9"/>
    </row>
    <row r="11" spans="1:16" ht="18" thickTop="1" thickBot="1">
      <c r="A11" s="7"/>
      <c r="B11" s="61" t="str">
        <f>szkoły!A6</f>
        <v>Pietruszka Aleksandra</v>
      </c>
      <c r="C11" s="105">
        <v>9.36</v>
      </c>
      <c r="D11" s="106">
        <f>IF(C11&gt;="",0,IF(C11&gt;12.75,0,IF(C11&lt;7.38,(200+(7.38-C11)*100),VLOOKUP(-C11,baza!$E$3:$F$202,2,1))))</f>
        <v>64</v>
      </c>
      <c r="E11" s="105">
        <v>31.5</v>
      </c>
      <c r="F11" s="106">
        <f>IF(E11&lt;8,0,IF(E11&gt;77,(200+(E11-77)*2),VLOOKUP(E11,baza!$H$3:$J$202,3,0)))</f>
        <v>51</v>
      </c>
      <c r="G11" s="107"/>
      <c r="H11" s="106">
        <f>IF(G11&lt;80,0,IF(G11&gt;179,200+(G11-179),VLOOKUP(G11,baza!$I:$J,2,0)))</f>
        <v>0</v>
      </c>
      <c r="I11" s="107">
        <v>416</v>
      </c>
      <c r="J11" s="106">
        <f>IF(I11&lt;210,0,IF(I11&gt;593,(200+(I11-593)*2),VLOOKUP(I11,baza!$B$3:$F$202,5,1)))</f>
        <v>62</v>
      </c>
      <c r="K11" s="108">
        <v>208.09</v>
      </c>
      <c r="L11" s="106">
        <f>IF(K11="",0,IF(K11&gt;(-1*baza!$D$3),0,IF(K11&lt;132.11,INT(200+(132.11-K11)*5),VLOOKUP(-K11,baza!$D$1:$F$203,3,1))))</f>
        <v>59</v>
      </c>
      <c r="M11" s="109">
        <f t="shared" si="0"/>
        <v>177</v>
      </c>
      <c r="N11" s="110">
        <f t="shared" si="1"/>
        <v>236</v>
      </c>
      <c r="O11" s="14"/>
      <c r="P11" s="9"/>
    </row>
    <row r="12" spans="1:16" ht="18" thickTop="1" thickBot="1">
      <c r="A12" s="7"/>
      <c r="B12" s="61" t="str">
        <f>szkoły!A7</f>
        <v>Stańczyk Maja</v>
      </c>
      <c r="C12" s="105">
        <v>9.5</v>
      </c>
      <c r="D12" s="106">
        <f>IF(C12&gt;="",0,IF(C12&gt;12.75,0,IF(C12&lt;7.38,(200+(7.38-C12)*100),VLOOKUP(-C12,baza!$E$3:$F$202,2,1))))</f>
        <v>61</v>
      </c>
      <c r="E12" s="105">
        <v>29.5</v>
      </c>
      <c r="F12" s="106">
        <f>IF(E12&lt;8,0,IF(E12&gt;77,(200+(E12-77)*2),VLOOKUP(E12,baza!$H$3:$J$202,3,0)))</f>
        <v>45</v>
      </c>
      <c r="G12" s="107"/>
      <c r="H12" s="106">
        <f>IF(G12&lt;80,0,IF(G12&gt;179,200+(G12-179),VLOOKUP(G12,baza!$I:$J,2,0)))</f>
        <v>0</v>
      </c>
      <c r="I12" s="107">
        <v>448</v>
      </c>
      <c r="J12" s="106">
        <f>IF(I12&lt;210,0,IF(I12&gt;593,(200+(I12-593)*2),VLOOKUP(I12,baza!$B$3:$F$202,5,1)))</f>
        <v>77</v>
      </c>
      <c r="K12" s="108">
        <v>203.24</v>
      </c>
      <c r="L12" s="106">
        <f>IF(K12="",0,IF(K12&gt;(-1*baza!$D$3),0,IF(K12&lt;132.11,INT(200+(132.11-K12)*5),VLOOKUP(-K12,baza!$D$1:$F$203,3,1))))</f>
        <v>68</v>
      </c>
      <c r="M12" s="109">
        <f t="shared" si="0"/>
        <v>183</v>
      </c>
      <c r="N12" s="110">
        <f t="shared" si="1"/>
        <v>251</v>
      </c>
      <c r="O12" s="15">
        <f>SUM(M8:M13)</f>
        <v>959</v>
      </c>
      <c r="P12" s="8" t="s">
        <v>1716</v>
      </c>
    </row>
    <row r="13" spans="1:16" ht="18" thickTop="1" thickBot="1">
      <c r="A13" s="7"/>
      <c r="B13" s="61" t="str">
        <f>szkoły!A8</f>
        <v>Wikalińska Maria</v>
      </c>
      <c r="C13" s="105">
        <v>9.81</v>
      </c>
      <c r="D13" s="106">
        <f>IF(C13&gt;="",0,IF(C13&gt;12.75,0,IF(C13&lt;7.38,(200+(7.38-C13)*100),VLOOKUP(-C13,baza!$E$3:$F$202,2,1))))</f>
        <v>53</v>
      </c>
      <c r="E13" s="105">
        <v>23.5</v>
      </c>
      <c r="F13" s="106">
        <f>IF(E13&lt;8,0,IF(E13&gt;77,(200+(E13-77)*2),VLOOKUP(E13,baza!$H$3:$J$202,3,0)))</f>
        <v>31</v>
      </c>
      <c r="G13" s="107"/>
      <c r="H13" s="106">
        <f>IF(G13&lt;80,0,IF(G13&gt;179,200+(G13-179),VLOOKUP(G13,baza!$I:$J,2,0)))</f>
        <v>0</v>
      </c>
      <c r="I13" s="107">
        <v>395</v>
      </c>
      <c r="J13" s="106">
        <f>IF(I13&lt;210,0,IF(I13&gt;593,(200+(I13-593)*2),VLOOKUP(I13,baza!$B$3:$F$202,5,1)))</f>
        <v>52</v>
      </c>
      <c r="K13" s="108">
        <v>208.96</v>
      </c>
      <c r="L13" s="106">
        <f>IF(K13="",0,IF(K13&gt;(-1*baza!$D$3),0,IF(K13&lt;132.11,INT(200+(132.11-K13)*5),VLOOKUP(-K13,baza!$D$1:$F$203,3,1))))</f>
        <v>57</v>
      </c>
      <c r="M13" s="109">
        <f t="shared" si="0"/>
        <v>136</v>
      </c>
      <c r="N13" s="110">
        <f t="shared" si="1"/>
        <v>193</v>
      </c>
      <c r="O13" s="15">
        <f>IF(COUNT(N8:N13)&lt;6,SUM(N8:N13),SUM(N8:N13)-MIN(N8:N13))</f>
        <v>1127</v>
      </c>
      <c r="P13" s="8" t="s">
        <v>1718</v>
      </c>
    </row>
    <row r="14" spans="1:16" ht="16.5" thickTop="1" thickBot="1">
      <c r="A14" s="13" t="str">
        <f>szkoły!B2</f>
        <v>SP204 Warszawa</v>
      </c>
      <c r="B14" s="60" t="s">
        <v>1713</v>
      </c>
      <c r="C14" s="21" t="s">
        <v>1710</v>
      </c>
      <c r="D14" s="21" t="s">
        <v>1714</v>
      </c>
      <c r="E14" s="24" t="s">
        <v>1715</v>
      </c>
      <c r="F14" s="21" t="s">
        <v>1714</v>
      </c>
      <c r="G14" s="23" t="s">
        <v>1712</v>
      </c>
      <c r="H14" s="21" t="s">
        <v>1714</v>
      </c>
      <c r="I14" s="23" t="s">
        <v>1708</v>
      </c>
      <c r="J14" s="21" t="s">
        <v>1714</v>
      </c>
      <c r="K14" s="25" t="s">
        <v>1724</v>
      </c>
      <c r="L14" s="21" t="s">
        <v>1714</v>
      </c>
      <c r="M14" s="22" t="s">
        <v>1716</v>
      </c>
      <c r="N14" s="22" t="s">
        <v>1717</v>
      </c>
      <c r="O14" s="14"/>
      <c r="P14" s="9"/>
    </row>
    <row r="15" spans="1:16" ht="18" thickTop="1" thickBot="1">
      <c r="A15" s="10"/>
      <c r="B15" s="61" t="str">
        <f>szkoły!B3</f>
        <v>Cisowska Lena</v>
      </c>
      <c r="C15" s="105">
        <v>9.98</v>
      </c>
      <c r="D15" s="106">
        <f>IF(C15&gt;="",0,IF(C15&gt;12.75,0,IF(C15&lt;7.38,(200+(7.38-C15)*100),VLOOKUP(-C15,baza!$E$3:$F$202,2,1))))</f>
        <v>49</v>
      </c>
      <c r="E15" s="105">
        <v>27.5</v>
      </c>
      <c r="F15" s="106">
        <f>IF(E15&lt;8,0,IF(E15&gt;77,(200+(E15-77)*2),VLOOKUP(E15,baza!$H$3:$J$202,3,0)))</f>
        <v>40</v>
      </c>
      <c r="G15" s="107"/>
      <c r="H15" s="106">
        <f>IF(G15&lt;80,0,IF(G15&gt;179,200+(G15-179),VLOOKUP(G15,baza!$I:$J,2,0)))</f>
        <v>0</v>
      </c>
      <c r="I15" s="107">
        <v>384</v>
      </c>
      <c r="J15" s="106">
        <f>IF(I15&lt;210,0,IF(I15&gt;593,(200+(I15-593)*2),VLOOKUP(I15,baza!$B$3:$F$202,5,1)))</f>
        <v>48</v>
      </c>
      <c r="K15" s="108">
        <v>200.12</v>
      </c>
      <c r="L15" s="106">
        <f>IF(K15="",0,IF(K15&gt;(-1*baza!$D$3),0,IF(K15&lt;132.11,INT(200+(132.11-K15)*5),VLOOKUP(-K15,baza!$D$1:$F$203,3,1))))</f>
        <v>74</v>
      </c>
      <c r="M15" s="109">
        <f t="shared" ref="M15:M20" si="2">(D15+F15+H15+J15)</f>
        <v>137</v>
      </c>
      <c r="N15" s="110">
        <f t="shared" ref="N15:N20" si="3">M15+L15</f>
        <v>211</v>
      </c>
      <c r="O15" s="14"/>
      <c r="P15" s="9"/>
    </row>
    <row r="16" spans="1:16" ht="18" thickTop="1" thickBot="1">
      <c r="A16" s="29" t="str">
        <f>O19 &amp; "  " &amp; "I DZIEŃ"</f>
        <v>1136  I DZIEŃ</v>
      </c>
      <c r="B16" s="61" t="str">
        <f>szkoły!B4</f>
        <v>Dasiewicz Barbara</v>
      </c>
      <c r="C16" s="105">
        <v>9.7899999999999991</v>
      </c>
      <c r="D16" s="106">
        <f>IF(C16&gt;="",0,IF(C16&gt;12.75,0,IF(C16&lt;7.38,(200+(7.38-C16)*100),VLOOKUP(-C16,baza!$E$3:$F$202,2,1))))</f>
        <v>54</v>
      </c>
      <c r="E16" s="105">
        <v>31</v>
      </c>
      <c r="F16" s="106">
        <f>IF(E16&lt;8,0,IF(E16&gt;77,(200+(E16-77)*2),VLOOKUP(E16,baza!$H$3:$J$202,3,0)))</f>
        <v>49</v>
      </c>
      <c r="G16" s="107"/>
      <c r="H16" s="106">
        <f>IF(G16&lt;80,0,IF(G16&gt;179,200+(G16-179),VLOOKUP(G16,baza!$I:$J,2,0)))</f>
        <v>0</v>
      </c>
      <c r="I16" s="107">
        <v>409</v>
      </c>
      <c r="J16" s="106">
        <f>IF(I16&lt;210,0,IF(I16&gt;593,(200+(I16-593)*2),VLOOKUP(I16,baza!$B$3:$F$202,5,1)))</f>
        <v>59</v>
      </c>
      <c r="K16" s="108">
        <v>156.1</v>
      </c>
      <c r="L16" s="106">
        <f>IF(K16="",0,IF(K16&gt;(-1*baza!$D$3),0,IF(K16&lt;132.11,INT(200+(132.11-K16)*5),VLOOKUP(-K16,baza!$D$1:$F$203,3,1))))</f>
        <v>82</v>
      </c>
      <c r="M16" s="109">
        <f t="shared" si="2"/>
        <v>162</v>
      </c>
      <c r="N16" s="110">
        <f t="shared" si="3"/>
        <v>244</v>
      </c>
      <c r="O16" s="14"/>
      <c r="P16" s="9"/>
    </row>
    <row r="17" spans="1:16" ht="18" thickTop="1" thickBot="1">
      <c r="A17" s="29" t="str">
        <f>O20 &amp; "  " &amp; "II DZIEŃ"</f>
        <v>1373  II DZIEŃ</v>
      </c>
      <c r="B17" s="61" t="str">
        <f>szkoły!B5</f>
        <v>Kowalska Antonina</v>
      </c>
      <c r="C17" s="105">
        <v>9.5299999999999994</v>
      </c>
      <c r="D17" s="106">
        <f>IF(C17&gt;="",0,IF(C17&gt;12.75,0,IF(C17&lt;7.38,(200+(7.38-C17)*100),VLOOKUP(-C17,baza!$E$3:$F$202,2,1))))</f>
        <v>60</v>
      </c>
      <c r="E17" s="105">
        <v>30.5</v>
      </c>
      <c r="F17" s="106">
        <f>IF(E17&lt;8,0,IF(E17&gt;77,(200+(E17-77)*2),VLOOKUP(E17,baza!$H$3:$J$202,3,0)))</f>
        <v>48</v>
      </c>
      <c r="G17" s="107"/>
      <c r="H17" s="106">
        <f>IF(G17&lt;80,0,IF(G17&gt;179,200+(G17-179),VLOOKUP(G17,baza!$I:$J,2,0)))</f>
        <v>0</v>
      </c>
      <c r="I17" s="107">
        <v>411</v>
      </c>
      <c r="J17" s="106">
        <f>IF(I17&lt;210,0,IF(I17&gt;593,(200+(I17-593)*2),VLOOKUP(I17,baza!$B$3:$F$202,5,1)))</f>
        <v>59</v>
      </c>
      <c r="K17" s="108">
        <v>207.87</v>
      </c>
      <c r="L17" s="106">
        <f>IF(K17="",0,IF(K17&gt;(-1*baza!$D$3),0,IF(K17&lt;132.11,INT(200+(132.11-K17)*5),VLOOKUP(-K17,baza!$D$1:$F$203,3,1))))</f>
        <v>59</v>
      </c>
      <c r="M17" s="109">
        <f t="shared" si="2"/>
        <v>167</v>
      </c>
      <c r="N17" s="110">
        <f t="shared" si="3"/>
        <v>226</v>
      </c>
      <c r="O17" s="14"/>
      <c r="P17" s="9"/>
    </row>
    <row r="18" spans="1:16" ht="18" thickTop="1" thickBot="1">
      <c r="A18" s="10"/>
      <c r="B18" s="61" t="str">
        <f>szkoły!B6</f>
        <v>Kowalska Maja</v>
      </c>
      <c r="C18" s="105">
        <v>9.33</v>
      </c>
      <c r="D18" s="106">
        <f>IF(C18&gt;="",0,IF(C18&gt;12.75,0,IF(C18&lt;7.38,(200+(7.38-C18)*100),VLOOKUP(-C18,baza!$E$3:$F$202,2,1))))</f>
        <v>65</v>
      </c>
      <c r="E18" s="105">
        <v>42.5</v>
      </c>
      <c r="F18" s="106">
        <f>IF(E18&lt;8,0,IF(E18&gt;77,(200+(E18-77)*2),VLOOKUP(E18,baza!$H$3:$J$202,3,0)))</f>
        <v>79</v>
      </c>
      <c r="G18" s="107"/>
      <c r="H18" s="106">
        <f>IF(G18&lt;80,0,IF(G18&gt;179,200+(G18-179),VLOOKUP(G18,baza!$I:$J,2,0)))</f>
        <v>0</v>
      </c>
      <c r="I18" s="107">
        <v>416</v>
      </c>
      <c r="J18" s="106">
        <f>IF(I18&lt;210,0,IF(I18&gt;593,(200+(I18-593)*2),VLOOKUP(I18,baza!$B$3:$F$202,5,1)))</f>
        <v>62</v>
      </c>
      <c r="K18" s="108">
        <v>156.38999999999999</v>
      </c>
      <c r="L18" s="106">
        <f>IF(K18="",0,IF(K18&gt;(-1*baza!$D$3),0,IF(K18&lt;132.11,INT(200+(132.11-K18)*5),VLOOKUP(-K18,baza!$D$1:$F$203,3,1))))</f>
        <v>81</v>
      </c>
      <c r="M18" s="109">
        <f t="shared" si="2"/>
        <v>206</v>
      </c>
      <c r="N18" s="110">
        <f t="shared" si="3"/>
        <v>287</v>
      </c>
      <c r="O18" s="14"/>
      <c r="P18" s="9"/>
    </row>
    <row r="19" spans="1:16" ht="18" thickTop="1" thickBot="1">
      <c r="A19" s="10"/>
      <c r="B19" s="61" t="str">
        <f>szkoły!B7</f>
        <v>Rogowska Maja</v>
      </c>
      <c r="C19" s="105">
        <v>8.82</v>
      </c>
      <c r="D19" s="106">
        <f>IF(C19&gt;="",0,IF(C19&gt;12.75,0,IF(C19&lt;7.38,(200+(7.38-C19)*100),VLOOKUP(-C19,baza!$E$3:$F$202,2,1))))</f>
        <v>85</v>
      </c>
      <c r="E19" s="105">
        <v>36</v>
      </c>
      <c r="F19" s="106">
        <f>IF(E19&lt;8,0,IF(E19&gt;77,(200+(E19-77)*2),VLOOKUP(E19,baza!$H$3:$J$202,3,0)))</f>
        <v>62</v>
      </c>
      <c r="G19" s="107"/>
      <c r="H19" s="106">
        <f>IF(G19&lt;80,0,IF(G19&gt;179,200+(G19-179),VLOOKUP(G19,baza!$I:$J,2,0)))</f>
        <v>0</v>
      </c>
      <c r="I19" s="107">
        <v>434</v>
      </c>
      <c r="J19" s="106">
        <f>IF(I19&lt;210,0,IF(I19&gt;593,(200+(I19-593)*2),VLOOKUP(I19,baza!$B$3:$F$202,5,1)))</f>
        <v>71</v>
      </c>
      <c r="K19" s="108">
        <v>200.24</v>
      </c>
      <c r="L19" s="106">
        <f>IF(K19="",0,IF(K19&gt;(-1*baza!$D$3),0,IF(K19&lt;132.11,INT(200+(132.11-K19)*5),VLOOKUP(-K19,baza!$D$1:$F$203,3,1))))</f>
        <v>74</v>
      </c>
      <c r="M19" s="109">
        <f t="shared" si="2"/>
        <v>218</v>
      </c>
      <c r="N19" s="110">
        <f t="shared" si="3"/>
        <v>292</v>
      </c>
      <c r="O19" s="15">
        <f>SUM(M15:M20)</f>
        <v>1136</v>
      </c>
      <c r="P19" s="8" t="s">
        <v>1716</v>
      </c>
    </row>
    <row r="20" spans="1:16" ht="18" thickTop="1" thickBot="1">
      <c r="A20" s="10"/>
      <c r="B20" s="61" t="str">
        <f>szkoły!B8</f>
        <v>Zarzycka Helena</v>
      </c>
      <c r="C20" s="105">
        <v>8.77</v>
      </c>
      <c r="D20" s="106">
        <f>IF(C20&gt;="",0,IF(C20&gt;12.75,0,IF(C20&lt;7.38,(200+(7.38-C20)*100),VLOOKUP(-C20,baza!$E$3:$F$202,2,1))))</f>
        <v>87</v>
      </c>
      <c r="E20" s="105">
        <v>40</v>
      </c>
      <c r="F20" s="106">
        <f>IF(E20&lt;8,0,IF(E20&gt;77,(200+(E20-77)*2),VLOOKUP(E20,baza!$H$3:$J$202,3,0)))</f>
        <v>73</v>
      </c>
      <c r="G20" s="107"/>
      <c r="H20" s="106">
        <f>IF(G20&lt;80,0,IF(G20&gt;179,200+(G20-179),VLOOKUP(G20,baza!$I:$J,2,0)))</f>
        <v>0</v>
      </c>
      <c r="I20" s="107">
        <v>462</v>
      </c>
      <c r="J20" s="106">
        <f>IF(I20&lt;210,0,IF(I20&gt;593,(200+(I20-593)*2),VLOOKUP(I20,baza!$B$3:$F$202,5,1)))</f>
        <v>86</v>
      </c>
      <c r="K20" s="108">
        <v>157.91</v>
      </c>
      <c r="L20" s="106">
        <f>IF(K20="",0,IF(K20&gt;(-1*baza!$D$3),0,IF(K20&lt;132.11,INT(200+(132.11-K20)*5),VLOOKUP(-K20,baza!$D$1:$F$203,3,1))))</f>
        <v>78</v>
      </c>
      <c r="M20" s="109">
        <f t="shared" si="2"/>
        <v>246</v>
      </c>
      <c r="N20" s="110">
        <f t="shared" si="3"/>
        <v>324</v>
      </c>
      <c r="O20" s="15">
        <f>IF(COUNT(N15:N20)&lt;6,SUM(N15:N20),SUM(N15:N20)-MIN(N15:N20))</f>
        <v>1373</v>
      </c>
      <c r="P20" s="8" t="s">
        <v>1718</v>
      </c>
    </row>
    <row r="21" spans="1:16" ht="16.5" thickTop="1" thickBot="1">
      <c r="A21" s="13" t="str">
        <f>szkoły!C2</f>
        <v>PSP 2 Radom</v>
      </c>
      <c r="B21" s="60" t="s">
        <v>1713</v>
      </c>
      <c r="C21" s="21" t="s">
        <v>1710</v>
      </c>
      <c r="D21" s="21" t="s">
        <v>1714</v>
      </c>
      <c r="E21" s="24" t="s">
        <v>1715</v>
      </c>
      <c r="F21" s="21" t="s">
        <v>1714</v>
      </c>
      <c r="G21" s="23" t="s">
        <v>1712</v>
      </c>
      <c r="H21" s="21" t="s">
        <v>1714</v>
      </c>
      <c r="I21" s="23" t="s">
        <v>1708</v>
      </c>
      <c r="J21" s="21" t="s">
        <v>1714</v>
      </c>
      <c r="K21" s="25" t="s">
        <v>1724</v>
      </c>
      <c r="L21" s="21" t="s">
        <v>1714</v>
      </c>
      <c r="M21" s="22" t="s">
        <v>1716</v>
      </c>
      <c r="N21" s="22" t="s">
        <v>1717</v>
      </c>
      <c r="O21" s="14"/>
      <c r="P21" s="9"/>
    </row>
    <row r="22" spans="1:16" ht="18" thickTop="1" thickBot="1">
      <c r="A22" s="7"/>
      <c r="B22" s="61" t="str">
        <f>szkoły!C3</f>
        <v>Gawor Maria</v>
      </c>
      <c r="C22" s="105">
        <v>9.9499999999999993</v>
      </c>
      <c r="D22" s="106">
        <f>IF(C22&gt;="",0,IF(C22&gt;12.75,0,IF(C22&lt;7.38,(200+(7.38-C22)*100),VLOOKUP(-C22,baza!$E$3:$F$202,2,1))))</f>
        <v>50</v>
      </c>
      <c r="E22" s="105">
        <v>24.5</v>
      </c>
      <c r="F22" s="106">
        <f>IF(E22&lt;8,0,IF(E22&gt;77,(200+(E22-77)*2),VLOOKUP(E22,baza!$H$3:$J$202,3,0)))</f>
        <v>33</v>
      </c>
      <c r="G22" s="107"/>
      <c r="H22" s="106">
        <f>IF(G22&lt;80,0,IF(G22&gt;179,200+(G22-179),VLOOKUP(G22,baza!$I:$J,2,0)))</f>
        <v>0</v>
      </c>
      <c r="I22" s="107">
        <v>385</v>
      </c>
      <c r="J22" s="106">
        <f>IF(I22&lt;210,0,IF(I22&gt;593,(200+(I22-593)*2),VLOOKUP(I22,baza!$B$3:$F$202,5,1)))</f>
        <v>49</v>
      </c>
      <c r="K22" s="108">
        <v>222.59</v>
      </c>
      <c r="L22" s="106">
        <f>IF(K22="",0,IF(K22&gt;(-1*baza!$D$3),0,IF(K22&lt;132.11,INT(200+(132.11-K22)*5),VLOOKUP(-K22,baza!$D$1:$F$203,3,1))))</f>
        <v>33</v>
      </c>
      <c r="M22" s="109">
        <f t="shared" ref="M22:M27" si="4">(D22+F22+H22+J22)</f>
        <v>132</v>
      </c>
      <c r="N22" s="110">
        <f t="shared" ref="N22:N27" si="5">M22+L22</f>
        <v>165</v>
      </c>
      <c r="O22" s="14"/>
      <c r="P22" s="9"/>
    </row>
    <row r="23" spans="1:16" ht="18" thickTop="1" thickBot="1">
      <c r="A23" s="29" t="str">
        <f>O26 &amp; "  " &amp; "I DZIEŃ"</f>
        <v>869  I DZIEŃ</v>
      </c>
      <c r="B23" s="61" t="str">
        <f>szkoły!C4</f>
        <v>Jakubowska Liliana</v>
      </c>
      <c r="C23" s="105">
        <v>9.59</v>
      </c>
      <c r="D23" s="106">
        <f>IF(C23&gt;="",0,IF(C23&gt;12.75,0,IF(C23&lt;7.38,(200+(7.38-C23)*100),VLOOKUP(-C23,baza!$E$3:$F$202,2,1))))</f>
        <v>59</v>
      </c>
      <c r="E23" s="105">
        <v>34</v>
      </c>
      <c r="F23" s="106">
        <f>IF(E23&lt;8,0,IF(E23&gt;77,(200+(E23-77)*2),VLOOKUP(E23,baza!$H$3:$J$202,3,0)))</f>
        <v>57</v>
      </c>
      <c r="G23" s="107"/>
      <c r="H23" s="106">
        <f>IF(G23&lt;80,0,IF(G23&gt;179,200+(G23-179),VLOOKUP(G23,baza!$I:$J,2,0)))</f>
        <v>0</v>
      </c>
      <c r="I23" s="107">
        <v>401</v>
      </c>
      <c r="J23" s="106">
        <f>IF(I23&lt;210,0,IF(I23&gt;593,(200+(I23-593)*2),VLOOKUP(I23,baza!$B$3:$F$202,5,1)))</f>
        <v>55</v>
      </c>
      <c r="K23" s="108">
        <v>224.07</v>
      </c>
      <c r="L23" s="106">
        <f>IF(K23="",0,IF(K23&gt;(-1*baza!$D$3),0,IF(K23&lt;132.11,INT(200+(132.11-K23)*5),VLOOKUP(-K23,baza!$D$1:$F$203,3,1))))</f>
        <v>30</v>
      </c>
      <c r="M23" s="109">
        <f t="shared" si="4"/>
        <v>171</v>
      </c>
      <c r="N23" s="110">
        <f t="shared" si="5"/>
        <v>201</v>
      </c>
      <c r="O23" s="14"/>
      <c r="P23" s="9"/>
    </row>
    <row r="24" spans="1:16" ht="18" thickTop="1" thickBot="1">
      <c r="A24" s="29" t="str">
        <f>O27 &amp; "  " &amp; "II DZIEŃ"</f>
        <v>943  II DZIEŃ</v>
      </c>
      <c r="B24" s="61" t="str">
        <f>szkoły!C5</f>
        <v>Kąca Alicja</v>
      </c>
      <c r="C24" s="105">
        <v>9.32</v>
      </c>
      <c r="D24" s="106">
        <f>IF(C24&gt;="",0,IF(C24&gt;12.75,0,IF(C24&lt;7.38,(200+(7.38-C24)*100),VLOOKUP(-C24,baza!$E$3:$F$202,2,1))))</f>
        <v>66</v>
      </c>
      <c r="E24" s="105">
        <v>9</v>
      </c>
      <c r="F24" s="106">
        <f>IF(E24&lt;8,0,IF(E24&gt;77,(200+(E24-77)*2),VLOOKUP(E24,baza!$H$3:$J$202,3,0)))</f>
        <v>2</v>
      </c>
      <c r="G24" s="107"/>
      <c r="H24" s="106">
        <f>IF(G24&lt;80,0,IF(G24&gt;179,200+(G24-179),VLOOKUP(G24,baza!$I:$J,2,0)))</f>
        <v>0</v>
      </c>
      <c r="I24" s="107">
        <v>418</v>
      </c>
      <c r="J24" s="106">
        <f>IF(I24&lt;210,0,IF(I24&gt;593,(200+(I24-593)*2),VLOOKUP(I24,baza!$B$3:$F$202,5,1)))</f>
        <v>63</v>
      </c>
      <c r="K24" s="108">
        <v>215.2</v>
      </c>
      <c r="L24" s="106">
        <f>IF(K24="",0,IF(K24&gt;(-1*baza!$D$3),0,IF(K24&lt;132.11,INT(200+(132.11-K24)*5),VLOOKUP(-K24,baza!$D$1:$F$203,3,1))))</f>
        <v>46</v>
      </c>
      <c r="M24" s="109">
        <f t="shared" si="4"/>
        <v>131</v>
      </c>
      <c r="N24" s="110">
        <f t="shared" si="5"/>
        <v>177</v>
      </c>
      <c r="O24" s="14"/>
      <c r="P24" s="9"/>
    </row>
    <row r="25" spans="1:16" ht="18" thickTop="1" thickBot="1">
      <c r="A25" s="7"/>
      <c r="B25" s="61" t="str">
        <f>szkoły!C6</f>
        <v>Maj Amelia</v>
      </c>
      <c r="C25" s="105">
        <v>9.25</v>
      </c>
      <c r="D25" s="106">
        <f>IF(C25&gt;="",0,IF(C25&gt;12.75,0,IF(C25&lt;7.38,(200+(7.38-C25)*100),VLOOKUP(-C25,baza!$E$3:$F$202,2,1))))</f>
        <v>69</v>
      </c>
      <c r="E25" s="105">
        <v>15</v>
      </c>
      <c r="F25" s="106">
        <f>IF(E25&lt;8,0,IF(E25&gt;77,(200+(E25-77)*2),VLOOKUP(E25,baza!$H$3:$J$202,3,0)))</f>
        <v>14</v>
      </c>
      <c r="G25" s="107"/>
      <c r="H25" s="106">
        <f>IF(G25&lt;80,0,IF(G25&gt;179,200+(G25-179),VLOOKUP(G25,baza!$I:$J,2,0)))</f>
        <v>0</v>
      </c>
      <c r="I25" s="107">
        <v>430</v>
      </c>
      <c r="J25" s="106">
        <f>IF(I25&lt;210,0,IF(I25&gt;593,(200+(I25-593)*2),VLOOKUP(I25,baza!$B$3:$F$202,5,1)))</f>
        <v>69</v>
      </c>
      <c r="K25" s="108">
        <v>209.4</v>
      </c>
      <c r="L25" s="106">
        <f>IF(K25="",0,IF(K25&gt;(-1*baza!$D$3),0,IF(K25&lt;132.11,INT(200+(132.11-K25)*5),VLOOKUP(-K25,baza!$D$1:$F$203,3,1))))</f>
        <v>57</v>
      </c>
      <c r="M25" s="109">
        <f t="shared" si="4"/>
        <v>152</v>
      </c>
      <c r="N25" s="110">
        <f t="shared" si="5"/>
        <v>209</v>
      </c>
      <c r="O25" s="14"/>
      <c r="P25" s="9"/>
    </row>
    <row r="26" spans="1:16" ht="18" thickTop="1" thickBot="1">
      <c r="A26" s="7"/>
      <c r="B26" s="61" t="str">
        <f>szkoły!C7</f>
        <v>Piotrowska Iga</v>
      </c>
      <c r="C26" s="105">
        <v>10.29</v>
      </c>
      <c r="D26" s="106">
        <f>IF(C26&gt;="",0,IF(C26&gt;12.75,0,IF(C26&lt;7.38,(200+(7.38-C26)*100),VLOOKUP(-C26,baza!$E$3:$F$202,2,1))))</f>
        <v>41</v>
      </c>
      <c r="E26" s="105">
        <v>19.5</v>
      </c>
      <c r="F26" s="106">
        <f>IF(E26&lt;8,0,IF(E26&gt;77,(200+(E26-77)*2),VLOOKUP(E26,baza!$H$3:$J$202,3,0)))</f>
        <v>23</v>
      </c>
      <c r="G26" s="107"/>
      <c r="H26" s="106">
        <f>IF(G26&lt;80,0,IF(G26&gt;179,200+(G26-179),VLOOKUP(G26,baza!$I:$J,2,0)))</f>
        <v>0</v>
      </c>
      <c r="I26" s="107">
        <v>344</v>
      </c>
      <c r="J26" s="106">
        <f>IF(I26&lt;210,0,IF(I26&gt;593,(200+(I26-593)*2),VLOOKUP(I26,baza!$B$3:$F$202,5,1)))</f>
        <v>35</v>
      </c>
      <c r="K26" s="108">
        <v>213.95</v>
      </c>
      <c r="L26" s="106">
        <f>IF(K26="",0,IF(K26&gt;(-1*baza!$D$3),0,IF(K26&lt;132.11,INT(200+(132.11-K26)*5),VLOOKUP(-K26,baza!$D$1:$F$203,3,1))))</f>
        <v>48</v>
      </c>
      <c r="M26" s="109">
        <f t="shared" si="4"/>
        <v>99</v>
      </c>
      <c r="N26" s="110">
        <f t="shared" si="5"/>
        <v>147</v>
      </c>
      <c r="O26" s="15">
        <f>SUM(M22:M27)</f>
        <v>869</v>
      </c>
      <c r="P26" s="8" t="s">
        <v>1716</v>
      </c>
    </row>
    <row r="27" spans="1:16" ht="18" thickTop="1" thickBot="1">
      <c r="A27" s="7"/>
      <c r="B27" s="61" t="str">
        <f>szkoły!C8</f>
        <v>Tyczyńska Lena</v>
      </c>
      <c r="C27" s="105">
        <v>9.0500000000000007</v>
      </c>
      <c r="D27" s="106">
        <f>IF(C27&gt;="",0,IF(C27&gt;12.75,0,IF(C27&lt;7.38,(200+(7.38-C27)*100),VLOOKUP(-C27,baza!$E$3:$F$202,2,1))))</f>
        <v>76</v>
      </c>
      <c r="E27" s="105">
        <v>20</v>
      </c>
      <c r="F27" s="106">
        <f>IF(E27&lt;8,0,IF(E27&gt;77,(200+(E27-77)*2),VLOOKUP(E27,baza!$H$3:$J$202,3,0)))</f>
        <v>24</v>
      </c>
      <c r="G27" s="107"/>
      <c r="H27" s="106">
        <f>IF(G27&lt;80,0,IF(G27&gt;179,200+(G27-179),VLOOKUP(G27,baza!$I:$J,2,0)))</f>
        <v>0</v>
      </c>
      <c r="I27" s="107">
        <v>460</v>
      </c>
      <c r="J27" s="106">
        <f>IF(I27&lt;210,0,IF(I27&gt;593,(200+(I27-593)*2),VLOOKUP(I27,baza!$B$3:$F$202,5,1)))</f>
        <v>84</v>
      </c>
      <c r="K27" s="108">
        <v>239.51</v>
      </c>
      <c r="L27" s="106">
        <f>IF(K27="",0,IF(K27&gt;(-1*baza!$D$3),0,IF(K27&lt;132.11,INT(200+(132.11-K27)*5),VLOOKUP(-K27,baza!$D$1:$F$203,3,1))))</f>
        <v>7</v>
      </c>
      <c r="M27" s="109">
        <f t="shared" si="4"/>
        <v>184</v>
      </c>
      <c r="N27" s="110">
        <f t="shared" si="5"/>
        <v>191</v>
      </c>
      <c r="O27" s="15">
        <f>IF(COUNT(N22:N27)&lt;6,SUM(N22:N27),SUM(N22:N27)-MIN(N22:N27))</f>
        <v>943</v>
      </c>
      <c r="P27" s="8" t="s">
        <v>1718</v>
      </c>
    </row>
    <row r="28" spans="1:16" ht="16.5" thickTop="1" thickBot="1">
      <c r="A28" s="13" t="str">
        <f>szkoły!D2</f>
        <v>SP2 Ostrów Maz.</v>
      </c>
      <c r="B28" s="60" t="s">
        <v>1713</v>
      </c>
      <c r="C28" s="21" t="s">
        <v>1710</v>
      </c>
      <c r="D28" s="21" t="s">
        <v>1714</v>
      </c>
      <c r="E28" s="24" t="s">
        <v>1715</v>
      </c>
      <c r="F28" s="21" t="s">
        <v>1714</v>
      </c>
      <c r="G28" s="23" t="s">
        <v>1712</v>
      </c>
      <c r="H28" s="21" t="s">
        <v>1714</v>
      </c>
      <c r="I28" s="23" t="s">
        <v>1708</v>
      </c>
      <c r="J28" s="21" t="s">
        <v>1714</v>
      </c>
      <c r="K28" s="25" t="s">
        <v>1724</v>
      </c>
      <c r="L28" s="21" t="s">
        <v>1714</v>
      </c>
      <c r="M28" s="22" t="s">
        <v>1716</v>
      </c>
      <c r="N28" s="22" t="s">
        <v>1717</v>
      </c>
      <c r="O28" s="14"/>
      <c r="P28" s="9"/>
    </row>
    <row r="29" spans="1:16" ht="18" thickTop="1" thickBot="1">
      <c r="A29" s="10"/>
      <c r="B29" s="61" t="str">
        <f>szkoły!D3</f>
        <v>Burkiewicz Amelia</v>
      </c>
      <c r="C29" s="105">
        <v>8.8000000000000007</v>
      </c>
      <c r="D29" s="106">
        <f>IF(C29&gt;="",0,IF(C29&gt;12.75,0,IF(C29&lt;7.38,(200+(7.38-C29)*100),VLOOKUP(-C29,baza!$E$3:$F$202,2,1))))</f>
        <v>86</v>
      </c>
      <c r="E29" s="105">
        <v>19.5</v>
      </c>
      <c r="F29" s="106">
        <f>IF(E29&lt;8,0,IF(E29&gt;77,(200+(E29-77)*2),VLOOKUP(E29,baza!$H$3:$J$202,3,0)))</f>
        <v>23</v>
      </c>
      <c r="G29" s="107"/>
      <c r="H29" s="106">
        <f>IF(G29&lt;80,0,IF(G29&gt;179,200+(G29-179),VLOOKUP(G29,baza!$I:$J,2,0)))</f>
        <v>0</v>
      </c>
      <c r="I29" s="107">
        <v>424</v>
      </c>
      <c r="J29" s="106">
        <f>IF(I29&lt;210,0,IF(I29&gt;593,(200+(I29-593)*2),VLOOKUP(I29,baza!$B$3:$F$202,5,1)))</f>
        <v>66</v>
      </c>
      <c r="K29" s="108">
        <v>210.49</v>
      </c>
      <c r="L29" s="106">
        <f>IF(K29="",0,IF(K29&gt;(-1*baza!$D$3),0,IF(K29&lt;132.11,INT(200+(132.11-K29)*5),VLOOKUP(-K29,baza!$D$1:$F$203,3,1))))</f>
        <v>55</v>
      </c>
      <c r="M29" s="109">
        <f t="shared" ref="M29:M34" si="6">(D29+F29+H29+J29)</f>
        <v>175</v>
      </c>
      <c r="N29" s="110">
        <f t="shared" ref="N29:N34" si="7">M29+L29</f>
        <v>230</v>
      </c>
      <c r="O29" s="14"/>
      <c r="P29" s="9"/>
    </row>
    <row r="30" spans="1:16" ht="18" thickTop="1" thickBot="1">
      <c r="A30" s="29" t="str">
        <f>O33 &amp; "  " &amp; "I DZIEŃ"</f>
        <v>886  I DZIEŃ</v>
      </c>
      <c r="B30" s="61" t="str">
        <f>szkoły!D4</f>
        <v>Kołakowska Gabriela</v>
      </c>
      <c r="C30" s="105">
        <v>9.3000000000000007</v>
      </c>
      <c r="D30" s="106">
        <f>IF(C30&gt;="",0,IF(C30&gt;12.75,0,IF(C30&lt;7.38,(200+(7.38-C30)*100),VLOOKUP(-C30,baza!$E$3:$F$202,2,1))))</f>
        <v>67</v>
      </c>
      <c r="E30" s="105">
        <v>15</v>
      </c>
      <c r="F30" s="106">
        <f>IF(E30&lt;8,0,IF(E30&gt;77,(200+(E30-77)*2),VLOOKUP(E30,baza!$H$3:$J$202,3,0)))</f>
        <v>14</v>
      </c>
      <c r="G30" s="107"/>
      <c r="H30" s="106">
        <f>IF(G30&lt;80,0,IF(G30&gt;179,200+(G30-179),VLOOKUP(G30,baza!$I:$J,2,0)))</f>
        <v>0</v>
      </c>
      <c r="I30" s="107">
        <v>411</v>
      </c>
      <c r="J30" s="106">
        <f>IF(I30&lt;210,0,IF(I30&gt;593,(200+(I30-593)*2),VLOOKUP(I30,baza!$B$3:$F$202,5,1)))</f>
        <v>59</v>
      </c>
      <c r="K30" s="108">
        <v>158.54</v>
      </c>
      <c r="L30" s="106">
        <f>IF(K30="",0,IF(K30&gt;(-1*baza!$D$3),0,IF(K30&lt;132.11,INT(200+(132.11-K30)*5),VLOOKUP(-K30,baza!$D$1:$F$203,3,1))))</f>
        <v>77</v>
      </c>
      <c r="M30" s="109">
        <f t="shared" si="6"/>
        <v>140</v>
      </c>
      <c r="N30" s="110">
        <f t="shared" si="7"/>
        <v>217</v>
      </c>
      <c r="O30" s="14"/>
      <c r="P30" s="9"/>
    </row>
    <row r="31" spans="1:16" ht="18" thickTop="1" thickBot="1">
      <c r="A31" s="29" t="str">
        <f>O34 &amp; "  " &amp; "II DZIEŃ"</f>
        <v>1096  II DZIEŃ</v>
      </c>
      <c r="B31" s="61" t="str">
        <f>szkoły!D5</f>
        <v>Niemyjska Aleksandra</v>
      </c>
      <c r="C31" s="105">
        <v>9.68</v>
      </c>
      <c r="D31" s="106">
        <f>IF(C31&gt;="",0,IF(C31&gt;12.75,0,IF(C31&lt;7.38,(200+(7.38-C31)*100),VLOOKUP(-C31,baza!$E$3:$F$202,2,1))))</f>
        <v>56</v>
      </c>
      <c r="E31" s="105">
        <v>29</v>
      </c>
      <c r="F31" s="106">
        <f>IF(E31&lt;8,0,IF(E31&gt;77,(200+(E31-77)*2),VLOOKUP(E31,baza!$H$3:$J$202,3,0)))</f>
        <v>44</v>
      </c>
      <c r="G31" s="107"/>
      <c r="H31" s="106">
        <f>IF(G31&lt;80,0,IF(G31&gt;179,200+(G31-179),VLOOKUP(G31,baza!$I:$J,2,0)))</f>
        <v>0</v>
      </c>
      <c r="I31" s="107">
        <v>365</v>
      </c>
      <c r="J31" s="106">
        <f>IF(I31&lt;210,0,IF(I31&gt;593,(200+(I31-593)*2),VLOOKUP(I31,baza!$B$3:$F$202,5,1)))</f>
        <v>42</v>
      </c>
      <c r="K31" s="108">
        <v>156.96</v>
      </c>
      <c r="L31" s="106">
        <f>IF(K31="",0,IF(K31&gt;(-1*baza!$D$3),0,IF(K31&lt;132.11,INT(200+(132.11-K31)*5),VLOOKUP(-K31,baza!$D$1:$F$203,3,1))))</f>
        <v>80</v>
      </c>
      <c r="M31" s="109">
        <f t="shared" si="6"/>
        <v>142</v>
      </c>
      <c r="N31" s="110">
        <f t="shared" si="7"/>
        <v>222</v>
      </c>
      <c r="O31" s="14"/>
      <c r="P31" s="9"/>
    </row>
    <row r="32" spans="1:16" ht="18" thickTop="1" thickBot="1">
      <c r="A32" s="10"/>
      <c r="B32" s="61" t="str">
        <f>szkoły!D6</f>
        <v>Paradukha Viktoria</v>
      </c>
      <c r="C32" s="105">
        <v>9.24</v>
      </c>
      <c r="D32" s="106">
        <f>IF(C32&gt;="",0,IF(C32&gt;12.75,0,IF(C32&lt;7.38,(200+(7.38-C32)*100),VLOOKUP(-C32,baza!$E$3:$F$202,2,1))))</f>
        <v>69</v>
      </c>
      <c r="E32" s="105">
        <v>20</v>
      </c>
      <c r="F32" s="106">
        <f>IF(E32&lt;8,0,IF(E32&gt;77,(200+(E32-77)*2),VLOOKUP(E32,baza!$H$3:$J$202,3,0)))</f>
        <v>24</v>
      </c>
      <c r="G32" s="107"/>
      <c r="H32" s="106">
        <f>IF(G32&lt;80,0,IF(G32&gt;179,200+(G32-179),VLOOKUP(G32,baza!$I:$J,2,0)))</f>
        <v>0</v>
      </c>
      <c r="I32" s="107">
        <v>396</v>
      </c>
      <c r="J32" s="106">
        <f>IF(I32&lt;210,0,IF(I32&gt;593,(200+(I32-593)*2),VLOOKUP(I32,baza!$B$3:$F$202,5,1)))</f>
        <v>52</v>
      </c>
      <c r="K32" s="108">
        <v>148.56</v>
      </c>
      <c r="L32" s="106">
        <f>IF(K32="",0,IF(K32&gt;(-1*baza!$D$3),0,IF(K32&lt;132.11,INT(200+(132.11-K32)*5),VLOOKUP(-K32,baza!$D$1:$F$203,3,1))))</f>
        <v>99</v>
      </c>
      <c r="M32" s="109">
        <f t="shared" si="6"/>
        <v>145</v>
      </c>
      <c r="N32" s="110">
        <f t="shared" si="7"/>
        <v>244</v>
      </c>
      <c r="O32" s="14"/>
      <c r="P32" s="9"/>
    </row>
    <row r="33" spans="1:16" ht="18" thickTop="1" thickBot="1">
      <c r="A33" s="10"/>
      <c r="B33" s="61" t="str">
        <f>szkoły!D7</f>
        <v>Wojsz Paulina</v>
      </c>
      <c r="C33" s="105">
        <v>9.9</v>
      </c>
      <c r="D33" s="106">
        <f>IF(C33&gt;="",0,IF(C33&gt;12.75,0,IF(C33&lt;7.38,(200+(7.38-C33)*100),VLOOKUP(-C33,baza!$E$3:$F$202,2,1))))</f>
        <v>51</v>
      </c>
      <c r="E33" s="105">
        <v>35</v>
      </c>
      <c r="F33" s="106">
        <f>IF(E33&lt;8,0,IF(E33&gt;77,(200+(E33-77)*2),VLOOKUP(E33,baza!$H$3:$J$202,3,0)))</f>
        <v>59</v>
      </c>
      <c r="G33" s="107"/>
      <c r="H33" s="106">
        <f>IF(G33&lt;80,0,IF(G33&gt;179,200+(G33-179),VLOOKUP(G33,baza!$I:$J,2,0)))</f>
        <v>0</v>
      </c>
      <c r="I33" s="107">
        <v>385</v>
      </c>
      <c r="J33" s="106">
        <f>IF(I33&lt;210,0,IF(I33&gt;593,(200+(I33-593)*2),VLOOKUP(I33,baza!$B$3:$F$202,5,1)))</f>
        <v>49</v>
      </c>
      <c r="K33" s="108">
        <v>229.78</v>
      </c>
      <c r="L33" s="106">
        <f>IF(K33="",0,IF(K33&gt;(-1*baza!$D$3),0,IF(K33&lt;132.11,INT(200+(132.11-K33)*5),VLOOKUP(-K33,baza!$D$1:$F$203,3,1))))</f>
        <v>20</v>
      </c>
      <c r="M33" s="109">
        <f t="shared" si="6"/>
        <v>159</v>
      </c>
      <c r="N33" s="110">
        <f t="shared" si="7"/>
        <v>179</v>
      </c>
      <c r="O33" s="15">
        <f>SUM(M29:M34)</f>
        <v>886</v>
      </c>
      <c r="P33" s="8" t="s">
        <v>1716</v>
      </c>
    </row>
    <row r="34" spans="1:16" ht="18" thickTop="1" thickBot="1">
      <c r="A34" s="10"/>
      <c r="B34" s="61" t="str">
        <f>szkoły!D8</f>
        <v>Radgowska Maja</v>
      </c>
      <c r="C34" s="105">
        <v>9.51</v>
      </c>
      <c r="D34" s="106">
        <f>IF(C34&gt;="",0,IF(C34&gt;12.75,0,IF(C34&lt;7.38,(200+(7.38-C34)*100),VLOOKUP(-C34,baza!$E$3:$F$202,2,1))))</f>
        <v>61</v>
      </c>
      <c r="E34" s="105">
        <v>22</v>
      </c>
      <c r="F34" s="106">
        <f>IF(E34&lt;8,0,IF(E34&gt;77,(200+(E34-77)*2),VLOOKUP(E34,baza!$H$3:$J$202,3,0)))</f>
        <v>28</v>
      </c>
      <c r="G34" s="107"/>
      <c r="H34" s="106">
        <f>IF(G34&lt;80,0,IF(G34&gt;179,200+(G34-179),VLOOKUP(G34,baza!$I:$J,2,0)))</f>
        <v>0</v>
      </c>
      <c r="I34" s="107">
        <v>347</v>
      </c>
      <c r="J34" s="106">
        <f>IF(I34&lt;210,0,IF(I34&gt;593,(200+(I34-593)*2),VLOOKUP(I34,baza!$B$3:$F$202,5,1)))</f>
        <v>36</v>
      </c>
      <c r="K34" s="108">
        <v>208.79</v>
      </c>
      <c r="L34" s="106">
        <f>IF(K34="",0,IF(K34&gt;(-1*baza!$D$3),0,IF(K34&lt;132.11,INT(200+(132.11-K34)*5),VLOOKUP(-K34,baza!$D$1:$F$203,3,1))))</f>
        <v>58</v>
      </c>
      <c r="M34" s="109">
        <f t="shared" si="6"/>
        <v>125</v>
      </c>
      <c r="N34" s="110">
        <f t="shared" si="7"/>
        <v>183</v>
      </c>
      <c r="O34" s="15">
        <f>IF(COUNT(N29:N34)&lt;6,SUM(N29:N34),SUM(N29:N34)-MIN(N29:N34))</f>
        <v>1096</v>
      </c>
      <c r="P34" s="8" t="s">
        <v>1718</v>
      </c>
    </row>
    <row r="35" spans="1:16" ht="16.5" thickTop="1" thickBot="1">
      <c r="A35" s="13" t="str">
        <f>szkoły!A10</f>
        <v>SP2 Chorzele</v>
      </c>
      <c r="B35" s="60" t="s">
        <v>1713</v>
      </c>
      <c r="C35" s="21" t="s">
        <v>1710</v>
      </c>
      <c r="D35" s="21" t="s">
        <v>1714</v>
      </c>
      <c r="E35" s="24" t="s">
        <v>1715</v>
      </c>
      <c r="F35" s="21" t="s">
        <v>1714</v>
      </c>
      <c r="G35" s="23" t="s">
        <v>1712</v>
      </c>
      <c r="H35" s="21" t="s">
        <v>1714</v>
      </c>
      <c r="I35" s="23" t="s">
        <v>1708</v>
      </c>
      <c r="J35" s="21" t="s">
        <v>1714</v>
      </c>
      <c r="K35" s="25" t="s">
        <v>1724</v>
      </c>
      <c r="L35" s="21" t="s">
        <v>1714</v>
      </c>
      <c r="M35" s="22" t="s">
        <v>1716</v>
      </c>
      <c r="N35" s="22" t="s">
        <v>1717</v>
      </c>
      <c r="O35" s="14"/>
      <c r="P35" s="9"/>
    </row>
    <row r="36" spans="1:16" ht="18" thickTop="1" thickBot="1">
      <c r="A36" s="7"/>
      <c r="B36" s="61" t="str">
        <f>szkoły!A11</f>
        <v>Furman Alicja</v>
      </c>
      <c r="C36" s="105">
        <v>9.31</v>
      </c>
      <c r="D36" s="106">
        <f>IF(C36&gt;="",0,IF(C36&gt;12.75,0,IF(C36&lt;7.38,(200+(7.38-C36)*100),VLOOKUP(-C36,baza!$E$3:$F$202,2,1))))</f>
        <v>66</v>
      </c>
      <c r="E36" s="105">
        <v>39</v>
      </c>
      <c r="F36" s="106">
        <f>IF(E36&lt;8,0,IF(E36&gt;77,(200+(E36-77)*2),VLOOKUP(E36,baza!$H$3:$J$202,3,0)))</f>
        <v>70</v>
      </c>
      <c r="G36" s="107"/>
      <c r="H36" s="106">
        <f>IF(G36&lt;80,0,IF(G36&gt;179,200+(G36-179),VLOOKUP(G36,baza!$I:$J,2,0)))</f>
        <v>0</v>
      </c>
      <c r="I36" s="107">
        <v>403</v>
      </c>
      <c r="J36" s="106">
        <f>IF(I36&lt;210,0,IF(I36&gt;593,(200+(I36-593)*2),VLOOKUP(I36,baza!$B$3:$F$202,5,1)))</f>
        <v>56</v>
      </c>
      <c r="K36" s="108">
        <v>202.55</v>
      </c>
      <c r="L36" s="106">
        <f>IF(K36="",0,IF(K36&gt;(-1*baza!$D$3),0,IF(K36&lt;132.11,INT(200+(132.11-K36)*5),VLOOKUP(-K36,baza!$D$1:$F$203,3,1))))</f>
        <v>69</v>
      </c>
      <c r="M36" s="109">
        <f t="shared" ref="M36:M41" si="8">(D36+F36+H36+J36)</f>
        <v>192</v>
      </c>
      <c r="N36" s="110">
        <f t="shared" ref="N36:N41" si="9">M36+L36</f>
        <v>261</v>
      </c>
      <c r="O36" s="14"/>
      <c r="P36" s="9"/>
    </row>
    <row r="37" spans="1:16" ht="18" thickTop="1" thickBot="1">
      <c r="A37" s="29" t="str">
        <f>O40 &amp; "  " &amp; "I DZIEŃ"</f>
        <v>1033  I DZIEŃ</v>
      </c>
      <c r="B37" s="61" t="str">
        <f>szkoły!A12</f>
        <v>Grabowska Maja</v>
      </c>
      <c r="C37" s="105">
        <v>9.52</v>
      </c>
      <c r="D37" s="106">
        <f>IF(C37&gt;="",0,IF(C37&gt;12.75,0,IF(C37&lt;7.38,(200+(7.38-C37)*100),VLOOKUP(-C37,baza!$E$3:$F$202,2,1))))</f>
        <v>60</v>
      </c>
      <c r="E37" s="105">
        <v>32</v>
      </c>
      <c r="F37" s="106">
        <f>IF(E37&lt;8,0,IF(E37&gt;77,(200+(E37-77)*2),VLOOKUP(E37,baza!$H$3:$J$202,3,0)))</f>
        <v>52</v>
      </c>
      <c r="G37" s="107"/>
      <c r="H37" s="106">
        <f>IF(G37&lt;80,0,IF(G37&gt;179,200+(G37-179),VLOOKUP(G37,baza!$I:$J,2,0)))</f>
        <v>0</v>
      </c>
      <c r="I37" s="107">
        <v>389</v>
      </c>
      <c r="J37" s="106">
        <f>IF(I37&lt;210,0,IF(I37&gt;593,(200+(I37-593)*2),VLOOKUP(I37,baza!$B$3:$F$202,5,1)))</f>
        <v>50</v>
      </c>
      <c r="K37" s="108">
        <v>157.07</v>
      </c>
      <c r="L37" s="106">
        <f>IF(K37="",0,IF(K37&gt;(-1*baza!$D$3),0,IF(K37&lt;132.11,INT(200+(132.11-K37)*5),VLOOKUP(-K37,baza!$D$1:$F$203,3,1))))</f>
        <v>80</v>
      </c>
      <c r="M37" s="109">
        <f t="shared" si="8"/>
        <v>162</v>
      </c>
      <c r="N37" s="110">
        <f t="shared" si="9"/>
        <v>242</v>
      </c>
      <c r="O37" s="14"/>
      <c r="P37" s="9"/>
    </row>
    <row r="38" spans="1:16" ht="18" thickTop="1" thickBot="1">
      <c r="A38" s="29" t="str">
        <f>O41 &amp; "  " &amp; "II DZIEŃ"</f>
        <v>1282  II DZIEŃ</v>
      </c>
      <c r="B38" s="61" t="str">
        <f>szkoły!A13</f>
        <v>Lubowiecka Nadia</v>
      </c>
      <c r="C38" s="105">
        <v>9.73</v>
      </c>
      <c r="D38" s="106">
        <f>IF(C38&gt;="",0,IF(C38&gt;12.75,0,IF(C38&lt;7.38,(200+(7.38-C38)*100),VLOOKUP(-C38,baza!$E$3:$F$202,2,1))))</f>
        <v>55</v>
      </c>
      <c r="E38" s="105">
        <v>28.5</v>
      </c>
      <c r="F38" s="106">
        <f>IF(E38&lt;8,0,IF(E38&gt;77,(200+(E38-77)*2),VLOOKUP(E38,baza!$H$3:$J$202,3,0)))</f>
        <v>43</v>
      </c>
      <c r="G38" s="107"/>
      <c r="H38" s="106">
        <f>IF(G38&lt;80,0,IF(G38&gt;179,200+(G38-179),VLOOKUP(G38,baza!$I:$J,2,0)))</f>
        <v>0</v>
      </c>
      <c r="I38" s="107">
        <v>415</v>
      </c>
      <c r="J38" s="106">
        <f>IF(I38&lt;210,0,IF(I38&gt;593,(200+(I38-593)*2),VLOOKUP(I38,baza!$B$3:$F$202,5,1)))</f>
        <v>61</v>
      </c>
      <c r="K38" s="108">
        <v>156.01</v>
      </c>
      <c r="L38" s="106">
        <f>IF(K38="",0,IF(K38&gt;(-1*baza!$D$3),0,IF(K38&lt;132.11,INT(200+(132.11-K38)*5),VLOOKUP(-K38,baza!$D$1:$F$203,3,1))))</f>
        <v>82</v>
      </c>
      <c r="M38" s="109">
        <f t="shared" si="8"/>
        <v>159</v>
      </c>
      <c r="N38" s="110">
        <f t="shared" si="9"/>
        <v>241</v>
      </c>
      <c r="O38" s="14"/>
      <c r="P38" s="9"/>
    </row>
    <row r="39" spans="1:16" ht="18" thickTop="1" thickBot="1">
      <c r="A39" s="7"/>
      <c r="B39" s="61" t="str">
        <f>szkoły!A14</f>
        <v>Szymańska Joanna</v>
      </c>
      <c r="C39" s="105">
        <v>8.7899999999999991</v>
      </c>
      <c r="D39" s="106">
        <f>IF(C39&gt;="",0,IF(C39&gt;12.75,0,IF(C39&lt;7.38,(200+(7.38-C39)*100),VLOOKUP(-C39,baza!$E$3:$F$202,2,1))))</f>
        <v>86</v>
      </c>
      <c r="E39" s="105">
        <v>26</v>
      </c>
      <c r="F39" s="106">
        <f>IF(E39&lt;8,0,IF(E39&gt;77,(200+(E39-77)*2),VLOOKUP(E39,baza!$H$3:$J$202,3,0)))</f>
        <v>36</v>
      </c>
      <c r="G39" s="107"/>
      <c r="H39" s="106">
        <f>IF(G39&lt;80,0,IF(G39&gt;179,200+(G39-179),VLOOKUP(G39,baza!$I:$J,2,0)))</f>
        <v>0</v>
      </c>
      <c r="I39" s="107">
        <v>428</v>
      </c>
      <c r="J39" s="106">
        <f>IF(I39&lt;210,0,IF(I39&gt;593,(200+(I39-593)*2),VLOOKUP(I39,baza!$B$3:$F$202,5,1)))</f>
        <v>68</v>
      </c>
      <c r="K39" s="108">
        <v>154.5</v>
      </c>
      <c r="L39" s="106">
        <f>IF(K39="",0,IF(K39&gt;(-1*baza!$D$3),0,IF(K39&lt;132.11,INT(200+(132.11-K39)*5),VLOOKUP(-K39,baza!$D$1:$F$203,3,1))))</f>
        <v>84</v>
      </c>
      <c r="M39" s="109">
        <f t="shared" si="8"/>
        <v>190</v>
      </c>
      <c r="N39" s="110">
        <f t="shared" si="9"/>
        <v>274</v>
      </c>
      <c r="O39" s="14"/>
      <c r="P39" s="9"/>
    </row>
    <row r="40" spans="1:16" ht="18" thickTop="1" thickBot="1">
      <c r="A40" s="7"/>
      <c r="B40" s="61" t="str">
        <f>szkoły!A15</f>
        <v>Tłoczkowska Marta</v>
      </c>
      <c r="C40" s="105">
        <v>9.6199999999999992</v>
      </c>
      <c r="D40" s="106">
        <f>IF(C40&gt;="",0,IF(C40&gt;12.75,0,IF(C40&lt;7.38,(200+(7.38-C40)*100),VLOOKUP(-C40,baza!$E$3:$F$202,2,1))))</f>
        <v>58</v>
      </c>
      <c r="E40" s="105">
        <v>30</v>
      </c>
      <c r="F40" s="106">
        <f>IF(E40&lt;8,0,IF(E40&gt;77,(200+(E40-77)*2),VLOOKUP(E40,baza!$H$3:$J$202,3,0)))</f>
        <v>47</v>
      </c>
      <c r="G40" s="107"/>
      <c r="H40" s="106">
        <f>IF(G40&lt;80,0,IF(G40&gt;179,200+(G40-179),VLOOKUP(G40,baza!$I:$J,2,0)))</f>
        <v>0</v>
      </c>
      <c r="I40" s="107">
        <v>433</v>
      </c>
      <c r="J40" s="106">
        <f>IF(I40&lt;210,0,IF(I40&gt;593,(200+(I40-593)*2),VLOOKUP(I40,baza!$B$3:$F$202,5,1)))</f>
        <v>71</v>
      </c>
      <c r="K40" s="108">
        <v>152.4</v>
      </c>
      <c r="L40" s="106">
        <f>IF(K40="",0,IF(K40&gt;(-1*baza!$D$3),0,IF(K40&lt;132.11,INT(200+(132.11-K40)*5),VLOOKUP(-K40,baza!$D$1:$F$203,3,1))))</f>
        <v>88</v>
      </c>
      <c r="M40" s="109">
        <f t="shared" si="8"/>
        <v>176</v>
      </c>
      <c r="N40" s="110">
        <f t="shared" si="9"/>
        <v>264</v>
      </c>
      <c r="O40" s="15">
        <f>SUM(M36:M41)</f>
        <v>1033</v>
      </c>
      <c r="P40" s="8" t="s">
        <v>1716</v>
      </c>
    </row>
    <row r="41" spans="1:16" ht="18" thickTop="1" thickBot="1">
      <c r="A41" s="7"/>
      <c r="B41" s="61" t="str">
        <f>szkoły!A16</f>
        <v>Woźniak Maja</v>
      </c>
      <c r="C41" s="105">
        <v>9.15</v>
      </c>
      <c r="D41" s="106">
        <f>IF(C41&gt;="",0,IF(C41&gt;12.75,0,IF(C41&lt;7.38,(200+(7.38-C41)*100),VLOOKUP(-C41,baza!$E$3:$F$202,2,1))))</f>
        <v>72</v>
      </c>
      <c r="E41" s="105">
        <v>23</v>
      </c>
      <c r="F41" s="106">
        <f>IF(E41&lt;8,0,IF(E41&gt;77,(200+(E41-77)*2),VLOOKUP(E41,baza!$H$3:$J$202,3,0)))</f>
        <v>30</v>
      </c>
      <c r="G41" s="107"/>
      <c r="H41" s="106">
        <f>IF(G41&lt;80,0,IF(G41&gt;179,200+(G41-179),VLOOKUP(G41,baza!$I:$J,2,0)))</f>
        <v>0</v>
      </c>
      <c r="I41" s="107">
        <v>395</v>
      </c>
      <c r="J41" s="106">
        <f>IF(I41&lt;210,0,IF(I41&gt;593,(200+(I41-593)*2),VLOOKUP(I41,baza!$B$3:$F$202,5,1)))</f>
        <v>52</v>
      </c>
      <c r="K41" s="108">
        <v>202.42</v>
      </c>
      <c r="L41" s="106">
        <f>IF(K41="",0,IF(K41&gt;(-1*baza!$D$3),0,IF(K41&lt;132.11,INT(200+(132.11-K41)*5),VLOOKUP(-K41,baza!$D$1:$F$203,3,1))))</f>
        <v>69</v>
      </c>
      <c r="M41" s="109">
        <f t="shared" si="8"/>
        <v>154</v>
      </c>
      <c r="N41" s="110">
        <f t="shared" si="9"/>
        <v>223</v>
      </c>
      <c r="O41" s="15">
        <f>IF(COUNT(N36:N41)&lt;6,SUM(N36:N41),SUM(N36:N41)-MIN(N36:N41))</f>
        <v>1282</v>
      </c>
      <c r="P41" s="8" t="s">
        <v>1718</v>
      </c>
    </row>
    <row r="42" spans="1:16" ht="16.5" thickTop="1" thickBot="1">
      <c r="A42" s="13" t="str">
        <f>szkoły!B10</f>
        <v>SP Bieniewice</v>
      </c>
      <c r="B42" s="60" t="s">
        <v>1713</v>
      </c>
      <c r="C42" s="21" t="s">
        <v>1710</v>
      </c>
      <c r="D42" s="21" t="s">
        <v>1714</v>
      </c>
      <c r="E42" s="24" t="s">
        <v>1715</v>
      </c>
      <c r="F42" s="21" t="s">
        <v>1714</v>
      </c>
      <c r="G42" s="23" t="s">
        <v>1712</v>
      </c>
      <c r="H42" s="21" t="s">
        <v>1714</v>
      </c>
      <c r="I42" s="23" t="s">
        <v>1708</v>
      </c>
      <c r="J42" s="21" t="s">
        <v>1714</v>
      </c>
      <c r="K42" s="25" t="s">
        <v>1724</v>
      </c>
      <c r="L42" s="21" t="s">
        <v>1714</v>
      </c>
      <c r="M42" s="22" t="s">
        <v>1716</v>
      </c>
      <c r="N42" s="22" t="s">
        <v>1717</v>
      </c>
      <c r="O42" s="14"/>
      <c r="P42" s="9"/>
    </row>
    <row r="43" spans="1:16" ht="18" thickTop="1" thickBot="1">
      <c r="A43" s="10"/>
      <c r="B43" s="61" t="str">
        <f>szkoły!B11</f>
        <v>Borys Paulina</v>
      </c>
      <c r="C43" s="105">
        <v>8.8800000000000008</v>
      </c>
      <c r="D43" s="106">
        <f>IF(C43&gt;="",0,IF(C43&gt;12.75,0,IF(C43&lt;7.38,(200+(7.38-C43)*100),VLOOKUP(-C43,baza!$E$3:$F$202,2,1))))</f>
        <v>83</v>
      </c>
      <c r="E43" s="105">
        <v>29.5</v>
      </c>
      <c r="F43" s="106">
        <f>IF(E43&lt;8,0,IF(E43&gt;77,(200+(E43-77)*2),VLOOKUP(E43,baza!$H$3:$J$202,3,0)))</f>
        <v>45</v>
      </c>
      <c r="G43" s="107"/>
      <c r="H43" s="106">
        <f>IF(G43&lt;80,0,IF(G43&gt;179,200+(G43-179),VLOOKUP(G43,baza!$I:$J,2,0)))</f>
        <v>0</v>
      </c>
      <c r="I43" s="107">
        <v>394</v>
      </c>
      <c r="J43" s="106">
        <f>IF(I43&lt;210,0,IF(I43&gt;593,(200+(I43-593)*2),VLOOKUP(I43,baza!$B$3:$F$202,5,1)))</f>
        <v>52</v>
      </c>
      <c r="K43" s="108">
        <v>149.47999999999999</v>
      </c>
      <c r="L43" s="106">
        <f>IF(K43="",0,IF(K43&gt;(-1*baza!$D$3),0,IF(K43&lt;132.11,INT(200+(132.11-K43)*5),VLOOKUP(-K43,baza!$D$1:$F$203,3,1))))</f>
        <v>96</v>
      </c>
      <c r="M43" s="109">
        <f t="shared" ref="M43:M48" si="10">(D43+F43+H43+J43)</f>
        <v>180</v>
      </c>
      <c r="N43" s="110">
        <f t="shared" ref="N43:N48" si="11">M43+L43</f>
        <v>276</v>
      </c>
      <c r="O43" s="14"/>
      <c r="P43" s="9"/>
    </row>
    <row r="44" spans="1:16" ht="18" thickTop="1" thickBot="1">
      <c r="A44" s="29" t="str">
        <f>O47 &amp; "  " &amp; "I DZIEŃ"</f>
        <v>906  I DZIEŃ</v>
      </c>
      <c r="B44" s="61" t="str">
        <f>szkoły!B12</f>
        <v>Krzycka Joanna</v>
      </c>
      <c r="C44" s="105">
        <v>9.17</v>
      </c>
      <c r="D44" s="106">
        <f>IF(C44&gt;="",0,IF(C44&gt;12.75,0,IF(C44&lt;7.38,(200+(7.38-C44)*100),VLOOKUP(-C44,baza!$E$3:$F$202,2,1))))</f>
        <v>71</v>
      </c>
      <c r="E44" s="105">
        <v>19</v>
      </c>
      <c r="F44" s="106">
        <f>IF(E44&lt;8,0,IF(E44&gt;77,(200+(E44-77)*2),VLOOKUP(E44,baza!$H$3:$J$202,3,0)))</f>
        <v>22</v>
      </c>
      <c r="G44" s="107"/>
      <c r="H44" s="106">
        <f>IF(G44&lt;80,0,IF(G44&gt;179,200+(G44-179),VLOOKUP(G44,baza!$I:$J,2,0)))</f>
        <v>0</v>
      </c>
      <c r="I44" s="107">
        <v>390</v>
      </c>
      <c r="J44" s="106">
        <f>IF(I44&lt;210,0,IF(I44&gt;593,(200+(I44-593)*2),VLOOKUP(I44,baza!$B$3:$F$202,5,1)))</f>
        <v>50</v>
      </c>
      <c r="K44" s="108">
        <v>157.06</v>
      </c>
      <c r="L44" s="106">
        <f>IF(K44="",0,IF(K44&gt;(-1*baza!$D$3),0,IF(K44&lt;132.11,INT(200+(132.11-K44)*5),VLOOKUP(-K44,baza!$D$1:$F$203,3,1))))</f>
        <v>80</v>
      </c>
      <c r="M44" s="109">
        <f t="shared" si="10"/>
        <v>143</v>
      </c>
      <c r="N44" s="110">
        <f t="shared" si="11"/>
        <v>223</v>
      </c>
      <c r="O44" s="14"/>
      <c r="P44" s="9"/>
    </row>
    <row r="45" spans="1:16" ht="18" thickTop="1" thickBot="1">
      <c r="A45" s="29" t="str">
        <f>O48 &amp; "  " &amp; "II DZIEŃ"</f>
        <v>1172  II DZIEŃ</v>
      </c>
      <c r="B45" s="61" t="str">
        <f>szkoły!B13</f>
        <v>Obrębska Maja</v>
      </c>
      <c r="C45" s="105">
        <v>9.52</v>
      </c>
      <c r="D45" s="106">
        <f>IF(C45&gt;="",0,IF(C45&gt;12.75,0,IF(C45&lt;7.38,(200+(7.38-C45)*100),VLOOKUP(-C45,baza!$E$3:$F$202,2,1))))</f>
        <v>60</v>
      </c>
      <c r="E45" s="105">
        <v>21</v>
      </c>
      <c r="F45" s="106">
        <f>IF(E45&lt;8,0,IF(E45&gt;77,(200+(E45-77)*2),VLOOKUP(E45,baza!$H$3:$J$202,3,0)))</f>
        <v>26</v>
      </c>
      <c r="G45" s="107"/>
      <c r="H45" s="106">
        <f>IF(G45&lt;80,0,IF(G45&gt;179,200+(G45-179),VLOOKUP(G45,baza!$I:$J,2,0)))</f>
        <v>0</v>
      </c>
      <c r="I45" s="107">
        <v>346</v>
      </c>
      <c r="J45" s="106">
        <f>IF(I45&lt;210,0,IF(I45&gt;593,(200+(I45-593)*2),VLOOKUP(I45,baza!$B$3:$F$202,5,1)))</f>
        <v>36</v>
      </c>
      <c r="K45" s="108">
        <v>200.49</v>
      </c>
      <c r="L45" s="106">
        <f>IF(K45="",0,IF(K45&gt;(-1*baza!$D$3),0,IF(K45&lt;132.11,INT(200+(132.11-K45)*5),VLOOKUP(-K45,baza!$D$1:$F$203,3,1))))</f>
        <v>73</v>
      </c>
      <c r="M45" s="109">
        <f t="shared" si="10"/>
        <v>122</v>
      </c>
      <c r="N45" s="110">
        <f t="shared" si="11"/>
        <v>195</v>
      </c>
      <c r="O45" s="14"/>
      <c r="P45" s="9"/>
    </row>
    <row r="46" spans="1:16" ht="18" thickTop="1" thickBot="1">
      <c r="A46" s="10"/>
      <c r="B46" s="61" t="str">
        <f>szkoły!B14</f>
        <v>Wachowiak Maja</v>
      </c>
      <c r="C46" s="105">
        <v>9.94</v>
      </c>
      <c r="D46" s="106">
        <f>IF(C46&gt;="",0,IF(C46&gt;12.75,0,IF(C46&lt;7.38,(200+(7.38-C46)*100),VLOOKUP(-C46,baza!$E$3:$F$202,2,1))))</f>
        <v>50</v>
      </c>
      <c r="E46" s="105">
        <v>24</v>
      </c>
      <c r="F46" s="106">
        <f>IF(E46&lt;8,0,IF(E46&gt;77,(200+(E46-77)*2),VLOOKUP(E46,baza!$H$3:$J$202,3,0)))</f>
        <v>32</v>
      </c>
      <c r="G46" s="107"/>
      <c r="H46" s="106">
        <f>IF(G46&lt;80,0,IF(G46&gt;179,200+(G46-179),VLOOKUP(G46,baza!$I:$J,2,0)))</f>
        <v>0</v>
      </c>
      <c r="I46" s="107">
        <v>411</v>
      </c>
      <c r="J46" s="106">
        <f>IF(I46&lt;210,0,IF(I46&gt;593,(200+(I46-593)*2),VLOOKUP(I46,baza!$B$3:$F$202,5,1)))</f>
        <v>59</v>
      </c>
      <c r="K46" s="108">
        <v>201.15</v>
      </c>
      <c r="L46" s="106">
        <f>IF(K46="",0,IF(K46&gt;(-1*baza!$D$3),0,IF(K46&lt;132.11,INT(200+(132.11-K46)*5),VLOOKUP(-K46,baza!$D$1:$F$203,3,1))))</f>
        <v>72</v>
      </c>
      <c r="M46" s="109">
        <f t="shared" si="10"/>
        <v>141</v>
      </c>
      <c r="N46" s="110">
        <f t="shared" si="11"/>
        <v>213</v>
      </c>
      <c r="O46" s="14"/>
      <c r="P46" s="9"/>
    </row>
    <row r="47" spans="1:16" ht="18" thickTop="1" thickBot="1">
      <c r="A47" s="10"/>
      <c r="B47" s="61" t="str">
        <f>szkoły!B15</f>
        <v>Wolska Julia</v>
      </c>
      <c r="C47" s="105">
        <v>8.81</v>
      </c>
      <c r="D47" s="106">
        <f>IF(C47&gt;="",0,IF(C47&gt;12.75,0,IF(C47&lt;7.38,(200+(7.38-C47)*100),VLOOKUP(-C47,baza!$E$3:$F$202,2,1))))</f>
        <v>86</v>
      </c>
      <c r="E47" s="105">
        <v>22</v>
      </c>
      <c r="F47" s="106">
        <f>IF(E47&lt;8,0,IF(E47&gt;77,(200+(E47-77)*2),VLOOKUP(E47,baza!$H$3:$J$202,3,0)))</f>
        <v>28</v>
      </c>
      <c r="G47" s="107"/>
      <c r="H47" s="106">
        <f>IF(G47&lt;80,0,IF(G47&gt;179,200+(G47-179),VLOOKUP(G47,baza!$I:$J,2,0)))</f>
        <v>0</v>
      </c>
      <c r="I47" s="107">
        <v>397</v>
      </c>
      <c r="J47" s="106">
        <f>IF(I47&lt;210,0,IF(I47&gt;593,(200+(I47-593)*2),VLOOKUP(I47,baza!$B$3:$F$202,5,1)))</f>
        <v>53</v>
      </c>
      <c r="K47" s="108">
        <v>205.05</v>
      </c>
      <c r="L47" s="106">
        <f>IF(K47="",0,IF(K47&gt;(-1*baza!$D$3),0,IF(K47&lt;132.11,INT(200+(132.11-K47)*5),VLOOKUP(-K47,baza!$D$1:$F$203,3,1))))</f>
        <v>65</v>
      </c>
      <c r="M47" s="109">
        <f t="shared" si="10"/>
        <v>167</v>
      </c>
      <c r="N47" s="110">
        <f t="shared" si="11"/>
        <v>232</v>
      </c>
      <c r="O47" s="15">
        <f>SUM(M43:M48)</f>
        <v>906</v>
      </c>
      <c r="P47" s="8" t="s">
        <v>1716</v>
      </c>
    </row>
    <row r="48" spans="1:16" ht="18" thickTop="1" thickBot="1">
      <c r="A48" s="10"/>
      <c r="B48" s="61" t="str">
        <f>szkoły!B16</f>
        <v>Zasowska Zofia</v>
      </c>
      <c r="C48" s="105">
        <v>9.1199999999999992</v>
      </c>
      <c r="D48" s="106">
        <f>IF(C48&gt;="",0,IF(C48&gt;12.75,0,IF(C48&lt;7.38,(200+(7.38-C48)*100),VLOOKUP(-C48,baza!$E$3:$F$202,2,1))))</f>
        <v>73</v>
      </c>
      <c r="E48" s="105">
        <v>24.5</v>
      </c>
      <c r="F48" s="106">
        <f>IF(E48&lt;8,0,IF(E48&gt;77,(200+(E48-77)*2),VLOOKUP(E48,baza!$H$3:$J$202,3,0)))</f>
        <v>33</v>
      </c>
      <c r="G48" s="107"/>
      <c r="H48" s="106">
        <f>IF(G48&lt;80,0,IF(G48&gt;179,200+(G48-179),VLOOKUP(G48,baza!$I:$J,2,0)))</f>
        <v>0</v>
      </c>
      <c r="I48" s="107">
        <v>380</v>
      </c>
      <c r="J48" s="106">
        <f>IF(I48&lt;210,0,IF(I48&gt;593,(200+(I48-593)*2),VLOOKUP(I48,baza!$B$3:$F$202,5,1)))</f>
        <v>47</v>
      </c>
      <c r="K48" s="108">
        <v>159.5</v>
      </c>
      <c r="L48" s="106">
        <f>IF(K48="",0,IF(K48&gt;(-1*baza!$D$3),0,IF(K48&lt;132.11,INT(200+(132.11-K48)*5),VLOOKUP(-K48,baza!$D$1:$F$203,3,1))))</f>
        <v>75</v>
      </c>
      <c r="M48" s="109">
        <f t="shared" si="10"/>
        <v>153</v>
      </c>
      <c r="N48" s="110">
        <f t="shared" si="11"/>
        <v>228</v>
      </c>
      <c r="O48" s="15">
        <f>IF(COUNT(N43:N48)&lt;6,SUM(N43:N48),SUM(N43:N48)-MIN(N43:N48))</f>
        <v>1172</v>
      </c>
      <c r="P48" s="8" t="s">
        <v>1718</v>
      </c>
    </row>
    <row r="49" spans="1:16" ht="16.5" thickTop="1" thickBot="1">
      <c r="A49" s="13" t="str">
        <f>szkoły!C10</f>
        <v>SP2 Węgrów</v>
      </c>
      <c r="B49" s="60" t="s">
        <v>1713</v>
      </c>
      <c r="C49" s="21" t="s">
        <v>1710</v>
      </c>
      <c r="D49" s="21" t="s">
        <v>1714</v>
      </c>
      <c r="E49" s="24" t="s">
        <v>1715</v>
      </c>
      <c r="F49" s="21" t="s">
        <v>1714</v>
      </c>
      <c r="G49" s="23" t="s">
        <v>1712</v>
      </c>
      <c r="H49" s="21" t="s">
        <v>1714</v>
      </c>
      <c r="I49" s="23" t="s">
        <v>1708</v>
      </c>
      <c r="J49" s="21" t="s">
        <v>1714</v>
      </c>
      <c r="K49" s="25" t="s">
        <v>1724</v>
      </c>
      <c r="L49" s="21" t="s">
        <v>1714</v>
      </c>
      <c r="M49" s="22" t="s">
        <v>1716</v>
      </c>
      <c r="N49" s="22" t="s">
        <v>1717</v>
      </c>
      <c r="O49" s="14"/>
      <c r="P49" s="9"/>
    </row>
    <row r="50" spans="1:16" ht="18" thickTop="1" thickBot="1">
      <c r="A50" s="7"/>
      <c r="B50" s="61" t="str">
        <f>szkoły!C11</f>
        <v>Zabadała Aleksandra</v>
      </c>
      <c r="C50" s="105">
        <v>9.0399999999999991</v>
      </c>
      <c r="D50" s="106">
        <f>IF(C50&gt;="",0,IF(C50&gt;12.75,0,IF(C50&lt;7.38,(200+(7.38-C50)*100),VLOOKUP(-C50,baza!$E$3:$F$202,2,1))))</f>
        <v>76</v>
      </c>
      <c r="E50" s="105">
        <v>31.5</v>
      </c>
      <c r="F50" s="106">
        <f>IF(E50&lt;8,0,IF(E50&gt;77,(200+(E50-77)*2),VLOOKUP(E50,baza!$H$3:$J$202,3,0)))</f>
        <v>51</v>
      </c>
      <c r="G50" s="107"/>
      <c r="H50" s="106">
        <f>IF(G50&lt;80,0,IF(G50&gt;179,200+(G50-179),VLOOKUP(G50,baza!$I:$J,2,0)))</f>
        <v>0</v>
      </c>
      <c r="I50" s="107">
        <v>418</v>
      </c>
      <c r="J50" s="106">
        <f>IF(I50&lt;210,0,IF(I50&gt;593,(200+(I50-593)*2),VLOOKUP(I50,baza!$B$3:$F$202,5,1)))</f>
        <v>63</v>
      </c>
      <c r="K50" s="108">
        <v>156</v>
      </c>
      <c r="L50" s="106">
        <f>IF(K50="",0,IF(K50&gt;(-1*baza!$D$3),0,IF(K50&lt;132.11,INT(200+(132.11-K50)*5),VLOOKUP(-K50,baza!$D$1:$F$203,3,1))))</f>
        <v>82</v>
      </c>
      <c r="M50" s="109">
        <f t="shared" ref="M50:M55" si="12">(D50+F50+H50+J50)</f>
        <v>190</v>
      </c>
      <c r="N50" s="110">
        <f t="shared" ref="N50:N55" si="13">M50+L50</f>
        <v>272</v>
      </c>
      <c r="O50" s="14"/>
      <c r="P50" s="9"/>
    </row>
    <row r="51" spans="1:16" ht="18" thickTop="1" thickBot="1">
      <c r="A51" s="29" t="str">
        <f>O54 &amp; "  " &amp; "I DZIEŃ"</f>
        <v>1060  I DZIEŃ</v>
      </c>
      <c r="B51" s="61" t="str">
        <f>szkoły!C12</f>
        <v>Jachowicz Roksana</v>
      </c>
      <c r="C51" s="105">
        <v>9.36</v>
      </c>
      <c r="D51" s="106">
        <f>IF(C51&gt;="",0,IF(C51&gt;12.75,0,IF(C51&lt;7.38,(200+(7.38-C51)*100),VLOOKUP(-C51,baza!$E$3:$F$202,2,1))))</f>
        <v>64</v>
      </c>
      <c r="E51" s="105">
        <v>44</v>
      </c>
      <c r="F51" s="106">
        <f>IF(E51&lt;8,0,IF(E51&gt;77,(200+(E51-77)*2),VLOOKUP(E51,baza!$H$3:$J$202,3,0)))</f>
        <v>83</v>
      </c>
      <c r="G51" s="107"/>
      <c r="H51" s="106">
        <f>IF(G51&lt;80,0,IF(G51&gt;179,200+(G51-179),VLOOKUP(G51,baza!$I:$J,2,0)))</f>
        <v>0</v>
      </c>
      <c r="I51" s="107">
        <v>470</v>
      </c>
      <c r="J51" s="106">
        <f>IF(I51&lt;210,0,IF(I51&gt;593,(200+(I51-593)*2),VLOOKUP(I51,baza!$B$3:$F$202,5,1)))</f>
        <v>93</v>
      </c>
      <c r="K51" s="108">
        <v>208.99</v>
      </c>
      <c r="L51" s="106">
        <f>IF(K51="",0,IF(K51&gt;(-1*baza!$D$3),0,IF(K51&lt;132.11,INT(200+(132.11-K51)*5),VLOOKUP(-K51,baza!$D$1:$F$203,3,1))))</f>
        <v>57</v>
      </c>
      <c r="M51" s="109">
        <f t="shared" si="12"/>
        <v>240</v>
      </c>
      <c r="N51" s="110">
        <f t="shared" si="13"/>
        <v>297</v>
      </c>
      <c r="O51" s="14"/>
      <c r="P51" s="9"/>
    </row>
    <row r="52" spans="1:16" ht="18" thickTop="1" thickBot="1">
      <c r="A52" s="29" t="str">
        <f>O55 &amp; "  " &amp; "II DZIEŃ"</f>
        <v>1252  II DZIEŃ</v>
      </c>
      <c r="B52" s="61" t="str">
        <f>szkoły!C13</f>
        <v>Mikołajewska Iga</v>
      </c>
      <c r="C52" s="105">
        <v>9.89</v>
      </c>
      <c r="D52" s="106">
        <f>IF(C52&gt;="",0,IF(C52&gt;12.75,0,IF(C52&lt;7.38,(200+(7.38-C52)*100),VLOOKUP(-C52,baza!$E$3:$F$202,2,1))))</f>
        <v>51</v>
      </c>
      <c r="E52" s="105">
        <v>36</v>
      </c>
      <c r="F52" s="106">
        <f>IF(E52&lt;8,0,IF(E52&gt;77,(200+(E52-77)*2),VLOOKUP(E52,baza!$H$3:$J$202,3,0)))</f>
        <v>62</v>
      </c>
      <c r="G52" s="107"/>
      <c r="H52" s="106">
        <f>IF(G52&lt;80,0,IF(G52&gt;179,200+(G52-179),VLOOKUP(G52,baza!$I:$J,2,0)))</f>
        <v>0</v>
      </c>
      <c r="I52" s="107">
        <v>351</v>
      </c>
      <c r="J52" s="106">
        <f>IF(I52&lt;210,0,IF(I52&gt;593,(200+(I52-593)*2),VLOOKUP(I52,baza!$B$3:$F$202,5,1)))</f>
        <v>37</v>
      </c>
      <c r="K52" s="108">
        <v>223.9</v>
      </c>
      <c r="L52" s="106">
        <f>IF(K52="",0,IF(K52&gt;(-1*baza!$D$3),0,IF(K52&lt;132.11,INT(200+(132.11-K52)*5),VLOOKUP(-K52,baza!$D$1:$F$203,3,1))))</f>
        <v>30</v>
      </c>
      <c r="M52" s="109">
        <f t="shared" si="12"/>
        <v>150</v>
      </c>
      <c r="N52" s="110">
        <f t="shared" si="13"/>
        <v>180</v>
      </c>
      <c r="O52" s="14"/>
      <c r="P52" s="9"/>
    </row>
    <row r="53" spans="1:16" ht="18" thickTop="1" thickBot="1">
      <c r="A53" s="7"/>
      <c r="B53" s="61" t="str">
        <f>szkoły!C14</f>
        <v>Wąsożnik Zofia</v>
      </c>
      <c r="C53" s="105">
        <v>9</v>
      </c>
      <c r="D53" s="106">
        <f>IF(C53&gt;="",0,IF(C53&gt;12.75,0,IF(C53&lt;7.38,(200+(7.38-C53)*100),VLOOKUP(-C53,baza!$E$3:$F$202,2,1))))</f>
        <v>78</v>
      </c>
      <c r="E53" s="105">
        <v>32.5</v>
      </c>
      <c r="F53" s="106">
        <f>IF(E53&lt;8,0,IF(E53&gt;77,(200+(E53-77)*2),VLOOKUP(E53,baza!$H$3:$J$202,3,0)))</f>
        <v>53</v>
      </c>
      <c r="G53" s="107"/>
      <c r="H53" s="106">
        <f>IF(G53&lt;80,0,IF(G53&gt;179,200+(G53-179),VLOOKUP(G53,baza!$I:$J,2,0)))</f>
        <v>0</v>
      </c>
      <c r="I53" s="107">
        <v>409</v>
      </c>
      <c r="J53" s="106">
        <f>IF(I53&lt;210,0,IF(I53&gt;593,(200+(I53-593)*2),VLOOKUP(I53,baza!$B$3:$F$202,5,1)))</f>
        <v>59</v>
      </c>
      <c r="K53" s="108">
        <v>150.34</v>
      </c>
      <c r="L53" s="106">
        <f>IF(K53="",0,IF(K53&gt;(-1*baza!$D$3),0,IF(K53&lt;132.11,INT(200+(132.11-K53)*5),VLOOKUP(-K53,baza!$D$1:$F$203,3,1))))</f>
        <v>93</v>
      </c>
      <c r="M53" s="109">
        <f t="shared" si="12"/>
        <v>190</v>
      </c>
      <c r="N53" s="110">
        <f t="shared" si="13"/>
        <v>283</v>
      </c>
      <c r="O53" s="14"/>
      <c r="P53" s="9"/>
    </row>
    <row r="54" spans="1:16" ht="18" thickTop="1" thickBot="1">
      <c r="A54" s="7"/>
      <c r="B54" s="61" t="str">
        <f>szkoły!C15</f>
        <v>Wrzeszcz Anna</v>
      </c>
      <c r="C54" s="105">
        <v>10.06</v>
      </c>
      <c r="D54" s="106">
        <f>IF(C54&gt;="",0,IF(C54&gt;12.75,0,IF(C54&lt;7.38,(200+(7.38-C54)*100),VLOOKUP(-C54,baza!$E$3:$F$202,2,1))))</f>
        <v>47</v>
      </c>
      <c r="E54" s="105">
        <v>32</v>
      </c>
      <c r="F54" s="106">
        <f>IF(E54&lt;8,0,IF(E54&gt;77,(200+(E54-77)*2),VLOOKUP(E54,baza!$H$3:$J$202,3,0)))</f>
        <v>52</v>
      </c>
      <c r="G54" s="107"/>
      <c r="H54" s="106">
        <f>IF(G54&lt;80,0,IF(G54&gt;179,200+(G54-179),VLOOKUP(G54,baza!$I:$J,2,0)))</f>
        <v>0</v>
      </c>
      <c r="I54" s="107">
        <v>394</v>
      </c>
      <c r="J54" s="106">
        <f>IF(I54&lt;210,0,IF(I54&gt;593,(200+(I54-593)*2),VLOOKUP(I54,baza!$B$3:$F$202,5,1)))</f>
        <v>52</v>
      </c>
      <c r="K54" s="108">
        <v>212.68</v>
      </c>
      <c r="L54" s="106">
        <f>IF(K54="",0,IF(K54&gt;(-1*baza!$D$3),0,IF(K54&lt;132.11,INT(200+(132.11-K54)*5),VLOOKUP(-K54,baza!$D$1:$F$203,3,1))))</f>
        <v>51</v>
      </c>
      <c r="M54" s="109">
        <f t="shared" si="12"/>
        <v>151</v>
      </c>
      <c r="N54" s="110">
        <f t="shared" si="13"/>
        <v>202</v>
      </c>
      <c r="O54" s="15">
        <f>SUM(M50:M55)</f>
        <v>1060</v>
      </c>
      <c r="P54" s="8" t="s">
        <v>1716</v>
      </c>
    </row>
    <row r="55" spans="1:16" ht="18" thickTop="1" thickBot="1">
      <c r="A55" s="7"/>
      <c r="B55" s="61" t="str">
        <f>szkoły!C16</f>
        <v>Kmieć Zuzanna</v>
      </c>
      <c r="C55" s="105">
        <v>9.2100000000000009</v>
      </c>
      <c r="D55" s="106">
        <f>IF(C55&gt;="",0,IF(C55&gt;12.75,0,IF(C55&lt;7.38,(200+(7.38-C55)*100),VLOOKUP(-C55,baza!$E$3:$F$202,2,1))))</f>
        <v>70</v>
      </c>
      <c r="E55" s="105">
        <v>33</v>
      </c>
      <c r="F55" s="106">
        <f>IF(E55&lt;8,0,IF(E55&gt;77,(200+(E55-77)*2),VLOOKUP(E55,baza!$H$3:$J$202,3,0)))</f>
        <v>54</v>
      </c>
      <c r="G55" s="107"/>
      <c r="H55" s="106">
        <f>IF(G55&lt;80,0,IF(G55&gt;179,200+(G55-179),VLOOKUP(G55,baza!$I:$J,2,0)))</f>
        <v>0</v>
      </c>
      <c r="I55" s="107">
        <v>285</v>
      </c>
      <c r="J55" s="106">
        <f>IF(I55&lt;210,0,IF(I55&gt;593,(200+(I55-593)*2),VLOOKUP(I55,baza!$B$3:$F$202,5,1)))</f>
        <v>15</v>
      </c>
      <c r="K55" s="108">
        <v>208.29</v>
      </c>
      <c r="L55" s="106">
        <f>IF(K55="",0,IF(K55&gt;(-1*baza!$D$3),0,IF(K55&lt;132.11,INT(200+(132.11-K55)*5),VLOOKUP(-K55,baza!$D$1:$F$203,3,1))))</f>
        <v>59</v>
      </c>
      <c r="M55" s="109">
        <f t="shared" si="12"/>
        <v>139</v>
      </c>
      <c r="N55" s="110">
        <f t="shared" si="13"/>
        <v>198</v>
      </c>
      <c r="O55" s="15">
        <f>IF(COUNT(N50:N55)&lt;6,SUM(N50:N55),SUM(N50:N55)-MIN(N50:N55))</f>
        <v>1252</v>
      </c>
      <c r="P55" s="8" t="s">
        <v>1718</v>
      </c>
    </row>
    <row r="56" spans="1:16" ht="16.5" thickTop="1" thickBot="1">
      <c r="A56" s="13" t="str">
        <f>szkoły!D10</f>
        <v>SP11 Siedlce</v>
      </c>
      <c r="B56" s="60" t="s">
        <v>1713</v>
      </c>
      <c r="C56" s="21" t="s">
        <v>1710</v>
      </c>
      <c r="D56" s="21" t="s">
        <v>1714</v>
      </c>
      <c r="E56" s="24" t="s">
        <v>1715</v>
      </c>
      <c r="F56" s="21" t="s">
        <v>1714</v>
      </c>
      <c r="G56" s="23" t="s">
        <v>1712</v>
      </c>
      <c r="H56" s="21" t="s">
        <v>1714</v>
      </c>
      <c r="I56" s="23" t="s">
        <v>1708</v>
      </c>
      <c r="J56" s="21" t="s">
        <v>1714</v>
      </c>
      <c r="K56" s="25" t="s">
        <v>1724</v>
      </c>
      <c r="L56" s="21" t="s">
        <v>1714</v>
      </c>
      <c r="M56" s="22" t="s">
        <v>1716</v>
      </c>
      <c r="N56" s="22" t="s">
        <v>1717</v>
      </c>
      <c r="O56" s="14"/>
      <c r="P56" s="9"/>
    </row>
    <row r="57" spans="1:16" ht="18" thickTop="1" thickBot="1">
      <c r="A57" s="10"/>
      <c r="B57" s="61" t="str">
        <f>szkoły!D11</f>
        <v>Chromińska Maja</v>
      </c>
      <c r="C57" s="105">
        <v>8.77</v>
      </c>
      <c r="D57" s="106">
        <f>IF(C57&gt;="",0,IF(C57&gt;12.75,0,IF(C57&lt;7.38,(200+(7.38-C57)*100),VLOOKUP(-C57,baza!$E$3:$F$202,2,1))))</f>
        <v>87</v>
      </c>
      <c r="E57" s="105">
        <v>35.5</v>
      </c>
      <c r="F57" s="106">
        <f>IF(E57&lt;8,0,IF(E57&gt;77,(200+(E57-77)*2),VLOOKUP(E57,baza!$H$3:$J$202,3,0)))</f>
        <v>61</v>
      </c>
      <c r="G57" s="107"/>
      <c r="H57" s="106">
        <f>IF(G57&lt;80,0,IF(G57&gt;179,200+(G57-179),VLOOKUP(G57,baza!$I:$J,2,0)))</f>
        <v>0</v>
      </c>
      <c r="I57" s="107">
        <v>466</v>
      </c>
      <c r="J57" s="106">
        <f>IF(I57&lt;210,0,IF(I57&gt;593,(200+(I57-593)*2),VLOOKUP(I57,baza!$B$3:$F$202,5,1)))</f>
        <v>89</v>
      </c>
      <c r="K57" s="108">
        <v>217.57</v>
      </c>
      <c r="L57" s="106">
        <f>IF(K57="",0,IF(K57&gt;(-1*baza!$D$3),0,IF(K57&lt;132.11,INT(200+(132.11-K57)*5),VLOOKUP(-K57,baza!$D$1:$F$203,3,1))))</f>
        <v>42</v>
      </c>
      <c r="M57" s="109">
        <f t="shared" ref="M57:M62" si="14">(D57+F57+H57+J57)</f>
        <v>237</v>
      </c>
      <c r="N57" s="110">
        <f t="shared" ref="N57:N62" si="15">M57+L57</f>
        <v>279</v>
      </c>
      <c r="O57" s="14"/>
      <c r="P57" s="9"/>
    </row>
    <row r="58" spans="1:16" ht="18" thickTop="1" thickBot="1">
      <c r="A58" s="29" t="str">
        <f>O61 &amp; "  " &amp; "I DZIEŃ"</f>
        <v>1124  I DZIEŃ</v>
      </c>
      <c r="B58" s="61" t="str">
        <f>szkoły!D12</f>
        <v>Fiuk Julia</v>
      </c>
      <c r="C58" s="105">
        <v>9.7100000000000009</v>
      </c>
      <c r="D58" s="106">
        <f>IF(C58&gt;="",0,IF(C58&gt;12.75,0,IF(C58&lt;7.38,(200+(7.38-C58)*100),VLOOKUP(-C58,baza!$E$3:$F$202,2,1))))</f>
        <v>56</v>
      </c>
      <c r="E58" s="105">
        <v>46</v>
      </c>
      <c r="F58" s="106">
        <f>IF(E58&lt;8,0,IF(E58&gt;77,(200+(E58-77)*2),VLOOKUP(E58,baza!$H$3:$J$202,3,0)))</f>
        <v>89</v>
      </c>
      <c r="G58" s="107"/>
      <c r="H58" s="106">
        <f>IF(G58&lt;80,0,IF(G58&gt;179,200+(G58-179),VLOOKUP(G58,baza!$I:$J,2,0)))</f>
        <v>0</v>
      </c>
      <c r="I58" s="107">
        <v>390</v>
      </c>
      <c r="J58" s="106">
        <f>IF(I58&lt;210,0,IF(I58&gt;593,(200+(I58-593)*2),VLOOKUP(I58,baza!$B$3:$F$202,5,1)))</f>
        <v>50</v>
      </c>
      <c r="K58" s="108">
        <v>218.03</v>
      </c>
      <c r="L58" s="106">
        <f>IF(K58="",0,IF(K58&gt;(-1*baza!$D$3),0,IF(K58&lt;132.11,INT(200+(132.11-K58)*5),VLOOKUP(-K58,baza!$D$1:$F$203,3,1))))</f>
        <v>41</v>
      </c>
      <c r="M58" s="109">
        <f t="shared" si="14"/>
        <v>195</v>
      </c>
      <c r="N58" s="110">
        <f t="shared" si="15"/>
        <v>236</v>
      </c>
      <c r="O58" s="14"/>
      <c r="P58" s="9"/>
    </row>
    <row r="59" spans="1:16" ht="18" thickTop="1" thickBot="1">
      <c r="A59" s="29" t="str">
        <f>O62 &amp; "  " &amp; "II DZIEŃ"</f>
        <v>1269  II DZIEŃ</v>
      </c>
      <c r="B59" s="61" t="str">
        <f>szkoły!D13</f>
        <v>Kowal Natalia</v>
      </c>
      <c r="C59" s="105">
        <v>10.23</v>
      </c>
      <c r="D59" s="106">
        <f>IF(C59&gt;="",0,IF(C59&gt;12.75,0,IF(C59&lt;7.38,(200+(7.38-C59)*100),VLOOKUP(-C59,baza!$E$3:$F$202,2,1))))</f>
        <v>43</v>
      </c>
      <c r="E59" s="105">
        <v>40.5</v>
      </c>
      <c r="F59" s="106">
        <f>IF(E59&lt;8,0,IF(E59&gt;77,(200+(E59-77)*2),VLOOKUP(E59,baza!$H$3:$J$202,3,0)))</f>
        <v>74</v>
      </c>
      <c r="G59" s="107"/>
      <c r="H59" s="106">
        <f>IF(G59&lt;80,0,IF(G59&gt;179,200+(G59-179),VLOOKUP(G59,baza!$I:$J,2,0)))</f>
        <v>0</v>
      </c>
      <c r="I59" s="107">
        <v>370</v>
      </c>
      <c r="J59" s="106">
        <f>IF(I59&lt;210,0,IF(I59&gt;593,(200+(I59-593)*2),VLOOKUP(I59,baza!$B$3:$F$202,5,1)))</f>
        <v>44</v>
      </c>
      <c r="K59" s="108">
        <v>218.8</v>
      </c>
      <c r="L59" s="106">
        <f>IF(K59="",0,IF(K59&gt;(-1*baza!$D$3),0,IF(K59&lt;132.11,INT(200+(132.11-K59)*5),VLOOKUP(-K59,baza!$D$1:$F$203,3,1))))</f>
        <v>40</v>
      </c>
      <c r="M59" s="109">
        <f t="shared" si="14"/>
        <v>161</v>
      </c>
      <c r="N59" s="110">
        <f t="shared" si="15"/>
        <v>201</v>
      </c>
      <c r="O59" s="14"/>
      <c r="P59" s="9"/>
    </row>
    <row r="60" spans="1:16" ht="18" thickTop="1" thickBot="1">
      <c r="A60" s="10"/>
      <c r="B60" s="61" t="str">
        <f>szkoły!D14</f>
        <v>Mościcka Gabriela</v>
      </c>
      <c r="C60" s="105">
        <v>9.99</v>
      </c>
      <c r="D60" s="106">
        <f>IF(C60&gt;="",0,IF(C60&gt;12.75,0,IF(C60&lt;7.38,(200+(7.38-C60)*100),VLOOKUP(-C60,baza!$E$3:$F$202,2,1))))</f>
        <v>49</v>
      </c>
      <c r="E60" s="105">
        <v>20.5</v>
      </c>
      <c r="F60" s="106">
        <f>IF(E60&lt;8,0,IF(E60&gt;77,(200+(E60-77)*2),VLOOKUP(E60,baza!$H$3:$J$202,3,0)))</f>
        <v>25</v>
      </c>
      <c r="G60" s="107"/>
      <c r="H60" s="106">
        <f>IF(G60&lt;80,0,IF(G60&gt;179,200+(G60-179),VLOOKUP(G60,baza!$I:$J,2,0)))</f>
        <v>0</v>
      </c>
      <c r="I60" s="107">
        <v>404</v>
      </c>
      <c r="J60" s="106">
        <f>IF(I60&lt;210,0,IF(I60&gt;593,(200+(I60-593)*2),VLOOKUP(I60,baza!$B$3:$F$202,5,1)))</f>
        <v>56</v>
      </c>
      <c r="K60" s="108">
        <v>159.91</v>
      </c>
      <c r="L60" s="106">
        <f>IF(K60="",0,IF(K60&gt;(-1*baza!$D$3),0,IF(K60&lt;132.11,INT(200+(132.11-K60)*5),VLOOKUP(-K60,baza!$D$1:$F$203,3,1))))</f>
        <v>74</v>
      </c>
      <c r="M60" s="109">
        <f t="shared" si="14"/>
        <v>130</v>
      </c>
      <c r="N60" s="110">
        <f t="shared" si="15"/>
        <v>204</v>
      </c>
      <c r="O60" s="14"/>
      <c r="P60" s="9"/>
    </row>
    <row r="61" spans="1:16" ht="18" thickTop="1" thickBot="1">
      <c r="A61" s="10"/>
      <c r="B61" s="61" t="str">
        <f>szkoły!D15</f>
        <v>Niedziółka Weronika</v>
      </c>
      <c r="C61" s="105">
        <v>9.31</v>
      </c>
      <c r="D61" s="106">
        <f>IF(C61&gt;="",0,IF(C61&gt;12.75,0,IF(C61&lt;7.38,(200+(7.38-C61)*100),VLOOKUP(-C61,baza!$E$3:$F$202,2,1))))</f>
        <v>66</v>
      </c>
      <c r="E61" s="105">
        <v>43</v>
      </c>
      <c r="F61" s="106">
        <f>IF(E61&lt;8,0,IF(E61&gt;77,(200+(E61-77)*2),VLOOKUP(E61,baza!$H$3:$J$202,3,0)))</f>
        <v>81</v>
      </c>
      <c r="G61" s="107"/>
      <c r="H61" s="106">
        <f>IF(G61&lt;80,0,IF(G61&gt;179,200+(G61-179),VLOOKUP(G61,baza!$I:$J,2,0)))</f>
        <v>0</v>
      </c>
      <c r="I61" s="107">
        <v>417</v>
      </c>
      <c r="J61" s="106">
        <f>IF(I61&lt;210,0,IF(I61&gt;593,(200+(I61-593)*2),VLOOKUP(I61,baza!$B$3:$F$202,5,1)))</f>
        <v>63</v>
      </c>
      <c r="K61" s="108">
        <v>204.96</v>
      </c>
      <c r="L61" s="106">
        <f>IF(K61="",0,IF(K61&gt;(-1*baza!$D$3),0,IF(K61&lt;132.11,INT(200+(132.11-K61)*5),VLOOKUP(-K61,baza!$D$1:$F$203,3,1))))</f>
        <v>65</v>
      </c>
      <c r="M61" s="109">
        <f t="shared" si="14"/>
        <v>210</v>
      </c>
      <c r="N61" s="110">
        <f t="shared" si="15"/>
        <v>275</v>
      </c>
      <c r="O61" s="15">
        <f>SUM(M57:M62)</f>
        <v>1124</v>
      </c>
      <c r="P61" s="8" t="s">
        <v>1716</v>
      </c>
    </row>
    <row r="62" spans="1:16" ht="18" thickTop="1" thickBot="1">
      <c r="A62" s="10"/>
      <c r="B62" s="61" t="str">
        <f>szkoły!D16</f>
        <v>Rytel Emilia</v>
      </c>
      <c r="C62" s="105">
        <v>9.41</v>
      </c>
      <c r="D62" s="106">
        <f>IF(C62&gt;="",0,IF(C62&gt;12.75,0,IF(C62&lt;7.38,(200+(7.38-C62)*100),VLOOKUP(-C62,baza!$E$3:$F$202,2,1))))</f>
        <v>63</v>
      </c>
      <c r="E62" s="105">
        <v>37</v>
      </c>
      <c r="F62" s="106">
        <f>IF(E62&lt;8,0,IF(E62&gt;77,(200+(E62-77)*2),VLOOKUP(E62,baza!$H$3:$J$202,3,0)))</f>
        <v>65</v>
      </c>
      <c r="G62" s="107"/>
      <c r="H62" s="106">
        <f>IF(G62&lt;80,0,IF(G62&gt;179,200+(G62-179),VLOOKUP(G62,baza!$I:$J,2,0)))</f>
        <v>0</v>
      </c>
      <c r="I62" s="107">
        <v>418</v>
      </c>
      <c r="J62" s="106">
        <f>IF(I62&lt;210,0,IF(I62&gt;593,(200+(I62-593)*2),VLOOKUP(I62,baza!$B$3:$F$202,5,1)))</f>
        <v>63</v>
      </c>
      <c r="K62" s="108">
        <v>154.54</v>
      </c>
      <c r="L62" s="106">
        <f>IF(K62="",0,IF(K62&gt;(-1*baza!$D$3),0,IF(K62&lt;132.11,INT(200+(132.11-K62)*5),VLOOKUP(-K62,baza!$D$1:$F$203,3,1))))</f>
        <v>84</v>
      </c>
      <c r="M62" s="109">
        <f t="shared" si="14"/>
        <v>191</v>
      </c>
      <c r="N62" s="110">
        <f t="shared" si="15"/>
        <v>275</v>
      </c>
      <c r="O62" s="15">
        <f>IF(COUNT(N57:N62)&lt;6,SUM(N57:N62),SUM(N57:N62)-MIN(N57:N62))</f>
        <v>1269</v>
      </c>
      <c r="P62" s="8" t="s">
        <v>1718</v>
      </c>
    </row>
    <row r="63" spans="1:16" ht="16.5" thickTop="1" thickBot="1">
      <c r="A63" s="13" t="str">
        <f>szkoły!A18</f>
        <v>SP Podkowa Leśna</v>
      </c>
      <c r="B63" s="60" t="s">
        <v>1713</v>
      </c>
      <c r="C63" s="21" t="s">
        <v>1710</v>
      </c>
      <c r="D63" s="21" t="s">
        <v>1714</v>
      </c>
      <c r="E63" s="24" t="s">
        <v>1715</v>
      </c>
      <c r="F63" s="21" t="s">
        <v>1714</v>
      </c>
      <c r="G63" s="23" t="s">
        <v>1712</v>
      </c>
      <c r="H63" s="21" t="s">
        <v>1714</v>
      </c>
      <c r="I63" s="23" t="s">
        <v>1708</v>
      </c>
      <c r="J63" s="21" t="s">
        <v>1714</v>
      </c>
      <c r="K63" s="25" t="s">
        <v>1724</v>
      </c>
      <c r="L63" s="21" t="s">
        <v>1714</v>
      </c>
      <c r="M63" s="22" t="s">
        <v>1716</v>
      </c>
      <c r="N63" s="22" t="s">
        <v>1717</v>
      </c>
      <c r="O63" s="14"/>
      <c r="P63" s="9"/>
    </row>
    <row r="64" spans="1:16" ht="18" thickTop="1" thickBot="1">
      <c r="A64" s="7"/>
      <c r="B64" s="61" t="str">
        <f>szkoły!A19</f>
        <v>Bąbiak Gabriela</v>
      </c>
      <c r="C64" s="105">
        <v>9.6999999999999993</v>
      </c>
      <c r="D64" s="106">
        <f>IF(C64&gt;="",0,IF(C64&gt;12.75,0,IF(C64&lt;7.38,(200+(7.38-C64)*100),VLOOKUP(-C64,baza!$E$3:$F$202,2,1))))</f>
        <v>56</v>
      </c>
      <c r="E64" s="105">
        <v>29</v>
      </c>
      <c r="F64" s="106">
        <f>IF(E64&lt;8,0,IF(E64&gt;77,(200+(E64-77)*2),VLOOKUP(E64,baza!$H$3:$J$202,3,0)))</f>
        <v>44</v>
      </c>
      <c r="G64" s="107"/>
      <c r="H64" s="106">
        <f>IF(G64&lt;80,0,IF(G64&gt;179,200+(G64-179),VLOOKUP(G64,baza!$I:$J,2,0)))</f>
        <v>0</v>
      </c>
      <c r="I64" s="107">
        <v>368</v>
      </c>
      <c r="J64" s="106">
        <f>IF(I64&lt;210,0,IF(I64&gt;593,(200+(I64-593)*2),VLOOKUP(I64,baza!$B$3:$F$202,5,1)))</f>
        <v>43</v>
      </c>
      <c r="K64" s="108">
        <v>201.25</v>
      </c>
      <c r="L64" s="106">
        <f>IF(K64="",0,IF(K64&gt;(-1*baza!$D$3),0,IF(K64&lt;132.11,INT(200+(132.11-K64)*5),VLOOKUP(-K64,baza!$D$1:$F$203,3,1))))</f>
        <v>72</v>
      </c>
      <c r="M64" s="109">
        <f t="shared" ref="M64:M69" si="16">(D64+F64+H64+J64)</f>
        <v>143</v>
      </c>
      <c r="N64" s="110">
        <f t="shared" ref="N64:N69" si="17">M64+L64</f>
        <v>215</v>
      </c>
      <c r="O64" s="14"/>
      <c r="P64" s="9"/>
    </row>
    <row r="65" spans="1:16" ht="18" thickTop="1" thickBot="1">
      <c r="A65" s="29" t="str">
        <f>O68 &amp; "  " &amp; "I DZIEŃ"</f>
        <v>1141  I DZIEŃ</v>
      </c>
      <c r="B65" s="61" t="str">
        <f>szkoły!A20</f>
        <v>Hajdenrach Antonina</v>
      </c>
      <c r="C65" s="105">
        <v>9.48</v>
      </c>
      <c r="D65" s="106">
        <f>IF(C65&gt;="",0,IF(C65&gt;12.75,0,IF(C65&lt;7.38,(200+(7.38-C65)*100),VLOOKUP(-C65,baza!$E$3:$F$202,2,1))))</f>
        <v>61</v>
      </c>
      <c r="E65" s="105">
        <v>31</v>
      </c>
      <c r="F65" s="106">
        <f>IF(E65&lt;8,0,IF(E65&gt;77,(200+(E65-77)*2),VLOOKUP(E65,baza!$H$3:$J$202,3,0)))</f>
        <v>49</v>
      </c>
      <c r="G65" s="107"/>
      <c r="H65" s="106">
        <f>IF(G65&lt;80,0,IF(G65&gt;179,200+(G65-179),VLOOKUP(G65,baza!$I:$J,2,0)))</f>
        <v>0</v>
      </c>
      <c r="I65" s="107">
        <v>404</v>
      </c>
      <c r="J65" s="106">
        <f>IF(I65&lt;210,0,IF(I65&gt;593,(200+(I65-593)*2),VLOOKUP(I65,baza!$B$3:$F$202,5,1)))</f>
        <v>56</v>
      </c>
      <c r="K65" s="108">
        <v>208.58</v>
      </c>
      <c r="L65" s="106">
        <f>IF(K65="",0,IF(K65&gt;(-1*baza!$D$3),0,IF(K65&lt;132.11,INT(200+(132.11-K65)*5),VLOOKUP(-K65,baza!$D$1:$F$203,3,1))))</f>
        <v>58</v>
      </c>
      <c r="M65" s="109">
        <f t="shared" si="16"/>
        <v>166</v>
      </c>
      <c r="N65" s="110">
        <f t="shared" si="17"/>
        <v>224</v>
      </c>
      <c r="O65" s="14"/>
      <c r="P65" s="9"/>
    </row>
    <row r="66" spans="1:16" ht="18" thickTop="1" thickBot="1">
      <c r="A66" s="29" t="str">
        <f>O69 &amp; "  " &amp; "II DZIEŃ"</f>
        <v>1330  II DZIEŃ</v>
      </c>
      <c r="B66" s="61" t="str">
        <f>szkoły!A21</f>
        <v>Kolenda Zofia</v>
      </c>
      <c r="C66" s="105">
        <v>9.4600000000000009</v>
      </c>
      <c r="D66" s="106">
        <f>IF(C66&gt;="",0,IF(C66&gt;12.75,0,IF(C66&lt;7.38,(200+(7.38-C66)*100),VLOOKUP(-C66,baza!$E$3:$F$202,2,1))))</f>
        <v>62</v>
      </c>
      <c r="E66" s="105">
        <v>40</v>
      </c>
      <c r="F66" s="106">
        <f>IF(E66&lt;8,0,IF(E66&gt;77,(200+(E66-77)*2),VLOOKUP(E66,baza!$H$3:$J$202,3,0)))</f>
        <v>73</v>
      </c>
      <c r="G66" s="107"/>
      <c r="H66" s="106">
        <f>IF(G66&lt;80,0,IF(G66&gt;179,200+(G66-179),VLOOKUP(G66,baza!$I:$J,2,0)))</f>
        <v>0</v>
      </c>
      <c r="I66" s="107">
        <v>421</v>
      </c>
      <c r="J66" s="106">
        <f>IF(I66&lt;210,0,IF(I66&gt;593,(200+(I66-593)*2),VLOOKUP(I66,baza!$B$3:$F$202,5,1)))</f>
        <v>65</v>
      </c>
      <c r="K66" s="108">
        <v>154.9</v>
      </c>
      <c r="L66" s="106">
        <f>IF(K66="",0,IF(K66&gt;(-1*baza!$D$3),0,IF(K66&lt;132.11,INT(200+(132.11-K66)*5),VLOOKUP(-K66,baza!$D$1:$F$203,3,1))))</f>
        <v>84</v>
      </c>
      <c r="M66" s="109">
        <f t="shared" si="16"/>
        <v>200</v>
      </c>
      <c r="N66" s="110">
        <f t="shared" si="17"/>
        <v>284</v>
      </c>
      <c r="O66" s="14"/>
      <c r="P66" s="9"/>
    </row>
    <row r="67" spans="1:16" ht="18" thickTop="1" thickBot="1">
      <c r="A67" s="7"/>
      <c r="B67" s="61" t="str">
        <f>szkoły!A22</f>
        <v>Krutkowska Amelia</v>
      </c>
      <c r="C67" s="105">
        <v>9.4700000000000006</v>
      </c>
      <c r="D67" s="106">
        <f>IF(C67&gt;="",0,IF(C67&gt;12.75,0,IF(C67&lt;7.38,(200+(7.38-C67)*100),VLOOKUP(-C67,baza!$E$3:$F$202,2,1))))</f>
        <v>62</v>
      </c>
      <c r="E67" s="105">
        <v>38.5</v>
      </c>
      <c r="F67" s="106">
        <f>IF(E67&lt;8,0,IF(E67&gt;77,(200+(E67-77)*2),VLOOKUP(E67,baza!$H$3:$J$202,3,0)))</f>
        <v>69</v>
      </c>
      <c r="G67" s="107"/>
      <c r="H67" s="106">
        <f>IF(G67&lt;80,0,IF(G67&gt;179,200+(G67-179),VLOOKUP(G67,baza!$I:$J,2,0)))</f>
        <v>0</v>
      </c>
      <c r="I67" s="107">
        <v>435</v>
      </c>
      <c r="J67" s="106">
        <f>IF(I67&lt;210,0,IF(I67&gt;593,(200+(I67-593)*2),VLOOKUP(I67,baza!$B$3:$F$202,5,1)))</f>
        <v>72</v>
      </c>
      <c r="K67" s="108">
        <v>204.63</v>
      </c>
      <c r="L67" s="106">
        <f>IF(K67="",0,IF(K67&gt;(-1*baza!$D$3),0,IF(K67&lt;132.11,INT(200+(132.11-K67)*5),VLOOKUP(-K67,baza!$D$1:$F$203,3,1))))</f>
        <v>65</v>
      </c>
      <c r="M67" s="109">
        <f t="shared" si="16"/>
        <v>203</v>
      </c>
      <c r="N67" s="110">
        <f t="shared" si="17"/>
        <v>268</v>
      </c>
      <c r="O67" s="14"/>
      <c r="P67" s="9"/>
    </row>
    <row r="68" spans="1:16" ht="18" thickTop="1" thickBot="1">
      <c r="A68" s="7"/>
      <c r="B68" s="61" t="str">
        <f>szkoły!A23</f>
        <v>Macutkiewicz Wiktoria</v>
      </c>
      <c r="C68" s="105">
        <v>9.7200000000000006</v>
      </c>
      <c r="D68" s="106">
        <f>IF(C68&gt;="",0,IF(C68&gt;12.75,0,IF(C68&lt;7.38,(200+(7.38-C68)*100),VLOOKUP(-C68,baza!$E$3:$F$202,2,1))))</f>
        <v>55</v>
      </c>
      <c r="E68" s="105">
        <v>39.5</v>
      </c>
      <c r="F68" s="106">
        <f>IF(E68&lt;8,0,IF(E68&gt;77,(200+(E68-77)*2),VLOOKUP(E68,baza!$H$3:$J$202,3,0)))</f>
        <v>71</v>
      </c>
      <c r="G68" s="107"/>
      <c r="H68" s="106">
        <f>IF(G68&lt;80,0,IF(G68&gt;179,200+(G68-179),VLOOKUP(G68,baza!$I:$J,2,0)))</f>
        <v>0</v>
      </c>
      <c r="I68" s="107">
        <v>422</v>
      </c>
      <c r="J68" s="106">
        <f>IF(I68&lt;210,0,IF(I68&gt;593,(200+(I68-593)*2),VLOOKUP(I68,baza!$B$3:$F$202,5,1)))</f>
        <v>65</v>
      </c>
      <c r="K68" s="108">
        <v>208.4</v>
      </c>
      <c r="L68" s="106">
        <f>IF(K68="",0,IF(K68&gt;(-1*baza!$D$3),0,IF(K68&lt;132.11,INT(200+(132.11-K68)*5),VLOOKUP(-K68,baza!$D$1:$F$203,3,1))))</f>
        <v>58</v>
      </c>
      <c r="M68" s="109">
        <f t="shared" si="16"/>
        <v>191</v>
      </c>
      <c r="N68" s="110">
        <f t="shared" si="17"/>
        <v>249</v>
      </c>
      <c r="O68" s="15">
        <f>SUM(M64:M69)</f>
        <v>1141</v>
      </c>
      <c r="P68" s="8" t="s">
        <v>1716</v>
      </c>
    </row>
    <row r="69" spans="1:16" ht="18" thickTop="1" thickBot="1">
      <c r="A69" s="7"/>
      <c r="B69" s="61" t="str">
        <f>szkoły!A24</f>
        <v>Tryzno Alicja</v>
      </c>
      <c r="C69" s="105">
        <v>8.9499999999999993</v>
      </c>
      <c r="D69" s="106">
        <f>IF(C69&gt;="",0,IF(C69&gt;12.75,0,IF(C69&lt;7.38,(200+(7.38-C69)*100),VLOOKUP(-C69,baza!$E$3:$F$202,2,1))))</f>
        <v>80</v>
      </c>
      <c r="E69" s="105">
        <v>35</v>
      </c>
      <c r="F69" s="106">
        <f>IF(E69&lt;8,0,IF(E69&gt;77,(200+(E69-77)*2),VLOOKUP(E69,baza!$H$3:$J$202,3,0)))</f>
        <v>59</v>
      </c>
      <c r="G69" s="107"/>
      <c r="H69" s="106">
        <f>IF(G69&lt;80,0,IF(G69&gt;179,200+(G69-179),VLOOKUP(G69,baza!$I:$J,2,0)))</f>
        <v>0</v>
      </c>
      <c r="I69" s="107">
        <v>476</v>
      </c>
      <c r="J69" s="106">
        <f>IF(I69&lt;210,0,IF(I69&gt;593,(200+(I69-593)*2),VLOOKUP(I69,baza!$B$3:$F$202,5,1)))</f>
        <v>99</v>
      </c>
      <c r="K69" s="108">
        <v>203.43</v>
      </c>
      <c r="L69" s="106">
        <f>IF(K69="",0,IF(K69&gt;(-1*baza!$D$3),0,IF(K69&lt;132.11,INT(200+(132.11-K69)*5),VLOOKUP(-K69,baza!$D$1:$F$203,3,1))))</f>
        <v>67</v>
      </c>
      <c r="M69" s="109">
        <f t="shared" si="16"/>
        <v>238</v>
      </c>
      <c r="N69" s="110">
        <f t="shared" si="17"/>
        <v>305</v>
      </c>
      <c r="O69" s="15">
        <f>IF(COUNT(N64:N69)&lt;6,SUM(N64:N69),SUM(N64:N69)-MIN(N64:N69))</f>
        <v>1330</v>
      </c>
      <c r="P69" s="8" t="s">
        <v>1718</v>
      </c>
    </row>
    <row r="70" spans="1:16" ht="16.5" thickTop="1" thickBot="1">
      <c r="A70" s="13" t="str">
        <f>szkoły!B18</f>
        <v>ZSP Lesznowola</v>
      </c>
      <c r="B70" s="60" t="s">
        <v>1713</v>
      </c>
      <c r="C70" s="21" t="s">
        <v>1710</v>
      </c>
      <c r="D70" s="21" t="s">
        <v>1714</v>
      </c>
      <c r="E70" s="24" t="s">
        <v>1715</v>
      </c>
      <c r="F70" s="21" t="s">
        <v>1714</v>
      </c>
      <c r="G70" s="23" t="s">
        <v>1712</v>
      </c>
      <c r="H70" s="21" t="s">
        <v>1714</v>
      </c>
      <c r="I70" s="23" t="s">
        <v>1708</v>
      </c>
      <c r="J70" s="21" t="s">
        <v>1714</v>
      </c>
      <c r="K70" s="25" t="s">
        <v>1724</v>
      </c>
      <c r="L70" s="21" t="s">
        <v>1714</v>
      </c>
      <c r="M70" s="22" t="s">
        <v>1716</v>
      </c>
      <c r="N70" s="22" t="s">
        <v>1717</v>
      </c>
      <c r="O70" s="14"/>
      <c r="P70" s="9"/>
    </row>
    <row r="71" spans="1:16" ht="18" thickTop="1" thickBot="1">
      <c r="A71" s="10"/>
      <c r="B71" s="61" t="str">
        <f>szkoły!B19</f>
        <v>Brzezińska Kinga</v>
      </c>
      <c r="C71" s="105">
        <v>10.02</v>
      </c>
      <c r="D71" s="106">
        <f>IF(C71&gt;="",0,IF(C71&gt;12.75,0,IF(C71&lt;7.38,(200+(7.38-C71)*100),VLOOKUP(-C71,baza!$E$3:$F$202,2,1))))</f>
        <v>48</v>
      </c>
      <c r="E71" s="105">
        <v>28.5</v>
      </c>
      <c r="F71" s="106">
        <f>IF(E71&lt;8,0,IF(E71&gt;77,(200+(E71-77)*2),VLOOKUP(E71,baza!$H$3:$J$202,3,0)))</f>
        <v>43</v>
      </c>
      <c r="G71" s="107"/>
      <c r="H71" s="106">
        <f>IF(G71&lt;80,0,IF(G71&gt;179,200+(G71-179),VLOOKUP(G71,baza!$I:$J,2,0)))</f>
        <v>0</v>
      </c>
      <c r="I71" s="107">
        <v>362</v>
      </c>
      <c r="J71" s="106">
        <f>IF(I71&lt;210,0,IF(I71&gt;593,(200+(I71-593)*2),VLOOKUP(I71,baza!$B$3:$F$202,5,1)))</f>
        <v>41</v>
      </c>
      <c r="K71" s="108">
        <v>219.03</v>
      </c>
      <c r="L71" s="106">
        <f>IF(K71="",0,IF(K71&gt;(-1*baza!$D$3),0,IF(K71&lt;132.11,INT(200+(132.11-K71)*5),VLOOKUP(-K71,baza!$D$1:$F$203,3,1))))</f>
        <v>39</v>
      </c>
      <c r="M71" s="109">
        <f t="shared" ref="M71:M76" si="18">(D71+F71+H71+J71)</f>
        <v>132</v>
      </c>
      <c r="N71" s="110">
        <f t="shared" ref="N71:N76" si="19">M71+L71</f>
        <v>171</v>
      </c>
      <c r="O71" s="14"/>
      <c r="P71" s="9"/>
    </row>
    <row r="72" spans="1:16" ht="18" thickTop="1" thickBot="1">
      <c r="A72" s="29" t="str">
        <f>O75 &amp; "  " &amp; "I DZIEŃ"</f>
        <v>789  I DZIEŃ</v>
      </c>
      <c r="B72" s="61" t="str">
        <f>szkoły!B20</f>
        <v>Marcisz Anna</v>
      </c>
      <c r="C72" s="105">
        <v>9.8699999999999992</v>
      </c>
      <c r="D72" s="106">
        <f>IF(C72&gt;="",0,IF(C72&gt;12.75,0,IF(C72&lt;7.38,(200+(7.38-C72)*100),VLOOKUP(-C72,baza!$E$3:$F$202,2,1))))</f>
        <v>52</v>
      </c>
      <c r="E72" s="105">
        <v>24.5</v>
      </c>
      <c r="F72" s="106">
        <f>IF(E72&lt;8,0,IF(E72&gt;77,(200+(E72-77)*2),VLOOKUP(E72,baza!$H$3:$J$202,3,0)))</f>
        <v>33</v>
      </c>
      <c r="G72" s="107"/>
      <c r="H72" s="106">
        <f>IF(G72&lt;80,0,IF(G72&gt;179,200+(G72-179),VLOOKUP(G72,baza!$I:$J,2,0)))</f>
        <v>0</v>
      </c>
      <c r="I72" s="107">
        <v>350</v>
      </c>
      <c r="J72" s="106">
        <f>IF(I72&lt;210,0,IF(I72&gt;593,(200+(I72-593)*2),VLOOKUP(I72,baza!$B$3:$F$202,5,1)))</f>
        <v>37</v>
      </c>
      <c r="K72" s="108">
        <v>218.97</v>
      </c>
      <c r="L72" s="106">
        <f>IF(K72="",0,IF(K72&gt;(-1*baza!$D$3),0,IF(K72&lt;132.11,INT(200+(132.11-K72)*5),VLOOKUP(-K72,baza!$D$1:$F$203,3,1))))</f>
        <v>39</v>
      </c>
      <c r="M72" s="109">
        <f t="shared" si="18"/>
        <v>122</v>
      </c>
      <c r="N72" s="110">
        <f t="shared" si="19"/>
        <v>161</v>
      </c>
      <c r="O72" s="14"/>
      <c r="P72" s="9"/>
    </row>
    <row r="73" spans="1:16" ht="18" thickTop="1" thickBot="1">
      <c r="A73" s="29" t="str">
        <f>O76 &amp; "  " &amp; "II DZIEŃ"</f>
        <v>876  II DZIEŃ</v>
      </c>
      <c r="B73" s="61" t="str">
        <f>szkoły!B21</f>
        <v>Mariańska Magdalena</v>
      </c>
      <c r="C73" s="105">
        <v>9.83</v>
      </c>
      <c r="D73" s="106">
        <f>IF(C73&gt;="",0,IF(C73&gt;12.75,0,IF(C73&lt;7.38,(200+(7.38-C73)*100),VLOOKUP(-C73,baza!$E$3:$F$202,2,1))))</f>
        <v>53</v>
      </c>
      <c r="E73" s="105">
        <v>24.5</v>
      </c>
      <c r="F73" s="106">
        <f>IF(E73&lt;8,0,IF(E73&gt;77,(200+(E73-77)*2),VLOOKUP(E73,baza!$H$3:$J$202,3,0)))</f>
        <v>33</v>
      </c>
      <c r="G73" s="107"/>
      <c r="H73" s="106">
        <f>IF(G73&lt;80,0,IF(G73&gt;179,200+(G73-179),VLOOKUP(G73,baza!$I:$J,2,0)))</f>
        <v>0</v>
      </c>
      <c r="I73" s="107">
        <v>306</v>
      </c>
      <c r="J73" s="106">
        <f>IF(I73&lt;210,0,IF(I73&gt;593,(200+(I73-593)*2),VLOOKUP(I73,baza!$B$3:$F$202,5,1)))</f>
        <v>22</v>
      </c>
      <c r="K73" s="108">
        <v>221.05</v>
      </c>
      <c r="L73" s="106">
        <f>IF(K73="",0,IF(K73&gt;(-1*baza!$D$3),0,IF(K73&lt;132.11,INT(200+(132.11-K73)*5),VLOOKUP(-K73,baza!$D$1:$F$203,3,1))))</f>
        <v>35</v>
      </c>
      <c r="M73" s="109">
        <f t="shared" si="18"/>
        <v>108</v>
      </c>
      <c r="N73" s="110">
        <f t="shared" si="19"/>
        <v>143</v>
      </c>
      <c r="O73" s="14"/>
      <c r="P73" s="9"/>
    </row>
    <row r="74" spans="1:16" ht="18" thickTop="1" thickBot="1">
      <c r="A74" s="10"/>
      <c r="B74" s="61" t="str">
        <f>szkoły!B22</f>
        <v>Pazio Zofia</v>
      </c>
      <c r="C74" s="105">
        <v>9.77</v>
      </c>
      <c r="D74" s="106">
        <f>IF(C74&gt;="",0,IF(C74&gt;12.75,0,IF(C74&lt;7.38,(200+(7.38-C74)*100),VLOOKUP(-C74,baza!$E$3:$F$202,2,1))))</f>
        <v>54</v>
      </c>
      <c r="E74" s="105">
        <v>24</v>
      </c>
      <c r="F74" s="106">
        <f>IF(E74&lt;8,0,IF(E74&gt;77,(200+(E74-77)*2),VLOOKUP(E74,baza!$H$3:$J$202,3,0)))</f>
        <v>32</v>
      </c>
      <c r="G74" s="107"/>
      <c r="H74" s="106">
        <f>IF(G74&lt;80,0,IF(G74&gt;179,200+(G74-179),VLOOKUP(G74,baza!$I:$J,2,0)))</f>
        <v>0</v>
      </c>
      <c r="I74" s="107">
        <v>392</v>
      </c>
      <c r="J74" s="106">
        <f>IF(I74&lt;210,0,IF(I74&gt;593,(200+(I74-593)*2),VLOOKUP(I74,baza!$B$3:$F$202,5,1)))</f>
        <v>51</v>
      </c>
      <c r="K74" s="108">
        <v>208.78</v>
      </c>
      <c r="L74" s="106">
        <f>IF(K74="",0,IF(K74&gt;(-1*baza!$D$3),0,IF(K74&lt;132.11,INT(200+(132.11-K74)*5),VLOOKUP(-K74,baza!$D$1:$F$203,3,1))))</f>
        <v>58</v>
      </c>
      <c r="M74" s="109">
        <f t="shared" si="18"/>
        <v>137</v>
      </c>
      <c r="N74" s="110">
        <f t="shared" si="19"/>
        <v>195</v>
      </c>
      <c r="O74" s="14"/>
      <c r="P74" s="9"/>
    </row>
    <row r="75" spans="1:16" ht="18" thickTop="1" thickBot="1">
      <c r="A75" s="10"/>
      <c r="B75" s="61" t="str">
        <f>szkoły!B23</f>
        <v>Przepiórka Julia</v>
      </c>
      <c r="C75" s="105">
        <v>9.93</v>
      </c>
      <c r="D75" s="106">
        <f>IF(C75&gt;="",0,IF(C75&gt;12.75,0,IF(C75&lt;7.38,(200+(7.38-C75)*100),VLOOKUP(-C75,baza!$E$3:$F$202,2,1))))</f>
        <v>50</v>
      </c>
      <c r="E75" s="105">
        <v>23</v>
      </c>
      <c r="F75" s="106">
        <f>IF(E75&lt;8,0,IF(E75&gt;77,(200+(E75-77)*2),VLOOKUP(E75,baza!$H$3:$J$202,3,0)))</f>
        <v>30</v>
      </c>
      <c r="G75" s="107"/>
      <c r="H75" s="106">
        <f>IF(G75&lt;80,0,IF(G75&gt;179,200+(G75-179),VLOOKUP(G75,baza!$I:$J,2,0)))</f>
        <v>0</v>
      </c>
      <c r="I75" s="107">
        <v>402</v>
      </c>
      <c r="J75" s="106">
        <f>IF(I75&lt;210,0,IF(I75&gt;593,(200+(I75-593)*2),VLOOKUP(I75,baza!$B$3:$F$202,5,1)))</f>
        <v>55</v>
      </c>
      <c r="K75" s="108">
        <v>226.71</v>
      </c>
      <c r="L75" s="106">
        <f>IF(K75="",0,IF(K75&gt;(-1*baza!$D$3),0,IF(K75&lt;132.11,INT(200+(132.11-K75)*5),VLOOKUP(-K75,baza!$D$1:$F$203,3,1))))</f>
        <v>25</v>
      </c>
      <c r="M75" s="109">
        <f t="shared" si="18"/>
        <v>135</v>
      </c>
      <c r="N75" s="110">
        <f t="shared" si="19"/>
        <v>160</v>
      </c>
      <c r="O75" s="15">
        <f>SUM(M71:M76)</f>
        <v>789</v>
      </c>
      <c r="P75" s="8" t="s">
        <v>1716</v>
      </c>
    </row>
    <row r="76" spans="1:16" ht="18" thickTop="1" thickBot="1">
      <c r="A76" s="10"/>
      <c r="B76" s="61" t="str">
        <f>szkoły!B24</f>
        <v>Szablewska Lena</v>
      </c>
      <c r="C76" s="105">
        <v>9.24</v>
      </c>
      <c r="D76" s="106">
        <f>IF(C76&gt;="",0,IF(C76&gt;12.75,0,IF(C76&lt;7.38,(200+(7.38-C76)*100),VLOOKUP(-C76,baza!$E$3:$F$202,2,1))))</f>
        <v>69</v>
      </c>
      <c r="E76" s="105">
        <v>30.5</v>
      </c>
      <c r="F76" s="106">
        <f>IF(E76&lt;8,0,IF(E76&gt;77,(200+(E76-77)*2),VLOOKUP(E76,baza!$H$3:$J$202,3,0)))</f>
        <v>48</v>
      </c>
      <c r="G76" s="107"/>
      <c r="H76" s="106">
        <f>IF(G76&lt;80,0,IF(G76&gt;179,200+(G76-179),VLOOKUP(G76,baza!$I:$J,2,0)))</f>
        <v>0</v>
      </c>
      <c r="I76" s="107">
        <v>354</v>
      </c>
      <c r="J76" s="106">
        <f>IF(I76&lt;210,0,IF(I76&gt;593,(200+(I76-593)*2),VLOOKUP(I76,baza!$B$3:$F$202,5,1)))</f>
        <v>38</v>
      </c>
      <c r="K76" s="108">
        <v>222.07</v>
      </c>
      <c r="L76" s="106">
        <f>IF(K76="",0,IF(K76&gt;(-1*baza!$D$3),0,IF(K76&lt;132.11,INT(200+(132.11-K76)*5),VLOOKUP(-K76,baza!$D$1:$F$203,3,1))))</f>
        <v>34</v>
      </c>
      <c r="M76" s="109">
        <f t="shared" si="18"/>
        <v>155</v>
      </c>
      <c r="N76" s="110">
        <f t="shared" si="19"/>
        <v>189</v>
      </c>
      <c r="O76" s="15">
        <f>IF(COUNT(N71:N76)&lt;6,SUM(N71:N76),SUM(N71:N76)-MIN(N71:N76))</f>
        <v>876</v>
      </c>
      <c r="P76" s="8" t="s">
        <v>1718</v>
      </c>
    </row>
    <row r="77" spans="1:16" ht="16.5" thickTop="1" thickBot="1">
      <c r="A77" s="13" t="str">
        <f>szkoły!C18</f>
        <v>SP3 Piaseczno</v>
      </c>
      <c r="B77" s="60" t="s">
        <v>1713</v>
      </c>
      <c r="C77" s="21" t="s">
        <v>1710</v>
      </c>
      <c r="D77" s="21" t="s">
        <v>1714</v>
      </c>
      <c r="E77" s="24" t="s">
        <v>1715</v>
      </c>
      <c r="F77" s="21" t="s">
        <v>1714</v>
      </c>
      <c r="G77" s="23" t="s">
        <v>1712</v>
      </c>
      <c r="H77" s="21" t="s">
        <v>1714</v>
      </c>
      <c r="I77" s="23" t="s">
        <v>1708</v>
      </c>
      <c r="J77" s="21" t="s">
        <v>1714</v>
      </c>
      <c r="K77" s="25" t="s">
        <v>1724</v>
      </c>
      <c r="L77" s="21" t="s">
        <v>1714</v>
      </c>
      <c r="M77" s="22" t="s">
        <v>1716</v>
      </c>
      <c r="N77" s="22" t="s">
        <v>1717</v>
      </c>
      <c r="O77" s="14"/>
      <c r="P77" s="9"/>
    </row>
    <row r="78" spans="1:16" ht="18" thickTop="1" thickBot="1">
      <c r="A78" s="7"/>
      <c r="B78" s="61" t="str">
        <f>szkoły!C19</f>
        <v>Bany Monika</v>
      </c>
      <c r="C78" s="105">
        <v>8.8800000000000008</v>
      </c>
      <c r="D78" s="106">
        <f>IF(C78&gt;="",0,IF(C78&gt;12.75,0,IF(C78&lt;7.38,(200+(7.38-C78)*100),VLOOKUP(-C78,baza!$E$3:$F$202,2,1))))</f>
        <v>83</v>
      </c>
      <c r="E78" s="105">
        <v>26.5</v>
      </c>
      <c r="F78" s="106">
        <f>IF(E78&lt;8,0,IF(E78&gt;77,(200+(E78-77)*2),VLOOKUP(E78,baza!$H$3:$J$202,3,0)))</f>
        <v>37</v>
      </c>
      <c r="G78" s="107"/>
      <c r="H78" s="106">
        <f>IF(G78&lt;80,0,IF(G78&gt;179,200+(G78-179),VLOOKUP(G78,baza!$I:$J,2,0)))</f>
        <v>0</v>
      </c>
      <c r="I78" s="107">
        <v>442</v>
      </c>
      <c r="J78" s="106">
        <f>IF(I78&lt;210,0,IF(I78&gt;593,(200+(I78-593)*2),VLOOKUP(I78,baza!$B$3:$F$202,5,1)))</f>
        <v>75</v>
      </c>
      <c r="K78" s="108">
        <v>202.89</v>
      </c>
      <c r="L78" s="106">
        <f>IF(K78="",0,IF(K78&gt;(-1*baza!$D$3),0,IF(K78&lt;132.11,INT(200+(132.11-K78)*5),VLOOKUP(-K78,baza!$D$1:$F$203,3,1))))</f>
        <v>68</v>
      </c>
      <c r="M78" s="109">
        <f t="shared" ref="M78:M83" si="20">(D78+F78+H78+J78)</f>
        <v>195</v>
      </c>
      <c r="N78" s="110">
        <f t="shared" ref="N78:N83" si="21">M78+L78</f>
        <v>263</v>
      </c>
      <c r="O78" s="14"/>
      <c r="P78" s="9"/>
    </row>
    <row r="79" spans="1:16" ht="18" thickTop="1" thickBot="1">
      <c r="A79" s="29" t="str">
        <f>O82 &amp; "  " &amp; "I DZIEŃ"</f>
        <v>873  I DZIEŃ</v>
      </c>
      <c r="B79" s="61" t="str">
        <f>szkoły!C20</f>
        <v>Borysiuk Gaja</v>
      </c>
      <c r="C79" s="105">
        <v>9.36</v>
      </c>
      <c r="D79" s="106">
        <f>IF(C79&gt;="",0,IF(C79&gt;12.75,0,IF(C79&lt;7.38,(200+(7.38-C79)*100),VLOOKUP(-C79,baza!$E$3:$F$202,2,1))))</f>
        <v>64</v>
      </c>
      <c r="E79" s="105">
        <v>24</v>
      </c>
      <c r="F79" s="106">
        <f>IF(E79&lt;8,0,IF(E79&gt;77,(200+(E79-77)*2),VLOOKUP(E79,baza!$H$3:$J$202,3,0)))</f>
        <v>32</v>
      </c>
      <c r="G79" s="107"/>
      <c r="H79" s="106">
        <f>IF(G79&lt;80,0,IF(G79&gt;179,200+(G79-179),VLOOKUP(G79,baza!$I:$J,2,0)))</f>
        <v>0</v>
      </c>
      <c r="I79" s="107">
        <v>412</v>
      </c>
      <c r="J79" s="106">
        <f>IF(I79&lt;210,0,IF(I79&gt;593,(200+(I79-593)*2),VLOOKUP(I79,baza!$B$3:$F$202,5,1)))</f>
        <v>60</v>
      </c>
      <c r="K79" s="108">
        <v>212</v>
      </c>
      <c r="L79" s="106">
        <f>IF(K79="",0,IF(K79&gt;(-1*baza!$D$3),0,IF(K79&lt;132.11,INT(200+(132.11-K79)*5),VLOOKUP(-K79,baza!$D$1:$F$203,3,1))))</f>
        <v>52</v>
      </c>
      <c r="M79" s="109">
        <f t="shared" si="20"/>
        <v>156</v>
      </c>
      <c r="N79" s="110">
        <f t="shared" si="21"/>
        <v>208</v>
      </c>
      <c r="O79" s="14"/>
      <c r="P79" s="9"/>
    </row>
    <row r="80" spans="1:16" ht="18" thickTop="1" thickBot="1">
      <c r="A80" s="29" t="str">
        <f>O83 &amp; "  " &amp; "II DZIEŃ"</f>
        <v>1018  II DZIEŃ</v>
      </c>
      <c r="B80" s="61" t="str">
        <f>szkoły!C21</f>
        <v>Sołtan Amelia</v>
      </c>
      <c r="C80" s="105">
        <v>9.75</v>
      </c>
      <c r="D80" s="106">
        <f>IF(C80&gt;="",0,IF(C80&gt;12.75,0,IF(C80&lt;7.38,(200+(7.38-C80)*100),VLOOKUP(-C80,baza!$E$3:$F$202,2,1))))</f>
        <v>55</v>
      </c>
      <c r="E80" s="105">
        <v>22</v>
      </c>
      <c r="F80" s="106">
        <f>IF(E80&lt;8,0,IF(E80&gt;77,(200+(E80-77)*2),VLOOKUP(E80,baza!$H$3:$J$202,3,0)))</f>
        <v>28</v>
      </c>
      <c r="G80" s="107"/>
      <c r="H80" s="106">
        <f>IF(G80&lt;80,0,IF(G80&gt;179,200+(G80-179),VLOOKUP(G80,baza!$I:$J,2,0)))</f>
        <v>0</v>
      </c>
      <c r="I80" s="107">
        <v>380</v>
      </c>
      <c r="J80" s="106">
        <f>IF(I80&lt;210,0,IF(I80&gt;593,(200+(I80-593)*2),VLOOKUP(I80,baza!$B$3:$F$202,5,1)))</f>
        <v>47</v>
      </c>
      <c r="K80" s="108">
        <v>223.23</v>
      </c>
      <c r="L80" s="106">
        <f>IF(K80="",0,IF(K80&gt;(-1*baza!$D$3),0,IF(K80&lt;132.11,INT(200+(132.11-K80)*5),VLOOKUP(-K80,baza!$D$1:$F$203,3,1))))</f>
        <v>31</v>
      </c>
      <c r="M80" s="109">
        <f t="shared" si="20"/>
        <v>130</v>
      </c>
      <c r="N80" s="110">
        <f t="shared" si="21"/>
        <v>161</v>
      </c>
      <c r="O80" s="14"/>
      <c r="P80" s="9"/>
    </row>
    <row r="81" spans="1:16" ht="18" thickTop="1" thickBot="1">
      <c r="A81" s="7"/>
      <c r="B81" s="61" t="str">
        <f>szkoły!C22</f>
        <v>Spiechowicz Lidia</v>
      </c>
      <c r="C81" s="105">
        <v>9.57</v>
      </c>
      <c r="D81" s="106">
        <f>IF(C81&gt;="",0,IF(C81&gt;12.75,0,IF(C81&lt;7.38,(200+(7.38-C81)*100),VLOOKUP(-C81,baza!$E$3:$F$202,2,1))))</f>
        <v>59</v>
      </c>
      <c r="E81" s="105">
        <v>27</v>
      </c>
      <c r="F81" s="106">
        <f>IF(E81&lt;8,0,IF(E81&gt;77,(200+(E81-77)*2),VLOOKUP(E81,baza!$H$3:$J$202,3,0)))</f>
        <v>39</v>
      </c>
      <c r="G81" s="107"/>
      <c r="H81" s="106">
        <f>IF(G81&lt;80,0,IF(G81&gt;179,200+(G81-179),VLOOKUP(G81,baza!$I:$J,2,0)))</f>
        <v>0</v>
      </c>
      <c r="I81" s="107">
        <v>415</v>
      </c>
      <c r="J81" s="106">
        <f>IF(I81&lt;210,0,IF(I81&gt;593,(200+(I81-593)*2),VLOOKUP(I81,baza!$B$3:$F$202,5,1)))</f>
        <v>61</v>
      </c>
      <c r="K81" s="108">
        <v>202.83</v>
      </c>
      <c r="L81" s="106">
        <f>IF(K81="",0,IF(K81&gt;(-1*baza!$D$3),0,IF(K81&lt;132.11,INT(200+(132.11-K81)*5),VLOOKUP(-K81,baza!$D$1:$F$203,3,1))))</f>
        <v>69</v>
      </c>
      <c r="M81" s="109">
        <f t="shared" si="20"/>
        <v>159</v>
      </c>
      <c r="N81" s="110">
        <f t="shared" si="21"/>
        <v>228</v>
      </c>
      <c r="O81" s="14"/>
      <c r="P81" s="9"/>
    </row>
    <row r="82" spans="1:16" ht="18" thickTop="1" thickBot="1">
      <c r="A82" s="7"/>
      <c r="B82" s="61" t="str">
        <f>szkoły!C23</f>
        <v>Szulc Amelia</v>
      </c>
      <c r="C82" s="105">
        <v>10.19</v>
      </c>
      <c r="D82" s="106">
        <f>IF(C82&gt;="",0,IF(C82&gt;12.75,0,IF(C82&lt;7.38,(200+(7.38-C82)*100),VLOOKUP(-C82,baza!$E$3:$F$202,2,1))))</f>
        <v>44</v>
      </c>
      <c r="E82" s="105">
        <v>13.5</v>
      </c>
      <c r="F82" s="106">
        <f>IF(E82&lt;8,0,IF(E82&gt;77,(200+(E82-77)*2),VLOOKUP(E82,baza!$H$3:$J$202,3,0)))</f>
        <v>11</v>
      </c>
      <c r="G82" s="107"/>
      <c r="H82" s="106">
        <f>IF(G82&lt;80,0,IF(G82&gt;179,200+(G82-179),VLOOKUP(G82,baza!$I:$J,2,0)))</f>
        <v>0</v>
      </c>
      <c r="I82" s="107">
        <v>370</v>
      </c>
      <c r="J82" s="106">
        <f>IF(I82&lt;210,0,IF(I82&gt;593,(200+(I82-593)*2),VLOOKUP(I82,baza!$B$3:$F$202,5,1)))</f>
        <v>44</v>
      </c>
      <c r="K82" s="108">
        <v>216.92</v>
      </c>
      <c r="L82" s="106">
        <f>IF(K82="",0,IF(K82&gt;(-1*baza!$D$3),0,IF(K82&lt;132.11,INT(200+(132.11-K82)*5),VLOOKUP(-K82,baza!$D$1:$F$203,3,1))))</f>
        <v>43</v>
      </c>
      <c r="M82" s="109">
        <f t="shared" si="20"/>
        <v>99</v>
      </c>
      <c r="N82" s="110">
        <f t="shared" si="21"/>
        <v>142</v>
      </c>
      <c r="O82" s="15">
        <f>SUM(M78:M83)</f>
        <v>873</v>
      </c>
      <c r="P82" s="8" t="s">
        <v>1716</v>
      </c>
    </row>
    <row r="83" spans="1:16" ht="18" thickTop="1" thickBot="1">
      <c r="A83" s="7"/>
      <c r="B83" s="61" t="str">
        <f>szkoły!C24</f>
        <v>Wilczyńska Maria</v>
      </c>
      <c r="C83" s="105">
        <v>9.57</v>
      </c>
      <c r="D83" s="106">
        <f>IF(C83&gt;="",0,IF(C83&gt;12.75,0,IF(C83&lt;7.38,(200+(7.38-C83)*100),VLOOKUP(-C83,baza!$E$3:$F$202,2,1))))</f>
        <v>59</v>
      </c>
      <c r="E83" s="105">
        <v>23</v>
      </c>
      <c r="F83" s="106">
        <f>IF(E83&lt;8,0,IF(E83&gt;77,(200+(E83-77)*2),VLOOKUP(E83,baza!$H$3:$J$202,3,0)))</f>
        <v>30</v>
      </c>
      <c r="G83" s="107"/>
      <c r="H83" s="106">
        <f>IF(G83&lt;80,0,IF(G83&gt;179,200+(G83-179),VLOOKUP(G83,baza!$I:$J,2,0)))</f>
        <v>0</v>
      </c>
      <c r="I83" s="107">
        <v>374</v>
      </c>
      <c r="J83" s="106">
        <f>IF(I83&lt;210,0,IF(I83&gt;593,(200+(I83-593)*2),VLOOKUP(I83,baza!$B$3:$F$202,5,1)))</f>
        <v>45</v>
      </c>
      <c r="K83" s="108">
        <v>227.2</v>
      </c>
      <c r="L83" s="106">
        <f>IF(K83="",0,IF(K83&gt;(-1*baza!$D$3),0,IF(K83&lt;132.11,INT(200+(132.11-K83)*5),VLOOKUP(-K83,baza!$D$1:$F$203,3,1))))</f>
        <v>24</v>
      </c>
      <c r="M83" s="109">
        <f t="shared" si="20"/>
        <v>134</v>
      </c>
      <c r="N83" s="110">
        <f t="shared" si="21"/>
        <v>158</v>
      </c>
      <c r="O83" s="15">
        <f>IF(COUNT(N78:N83)&lt;6,SUM(N78:N83),SUM(N78:N83)-MIN(N78:N83))</f>
        <v>1018</v>
      </c>
      <c r="P83" s="8" t="s">
        <v>1718</v>
      </c>
    </row>
    <row r="84" spans="1:16" ht="16.5" thickTop="1" thickBot="1">
      <c r="A84" s="13" t="str">
        <f>szkoły!D18</f>
        <v>ZSP Jedlińsk</v>
      </c>
      <c r="B84" s="60" t="s">
        <v>1713</v>
      </c>
      <c r="C84" s="21" t="s">
        <v>1710</v>
      </c>
      <c r="D84" s="21" t="s">
        <v>1714</v>
      </c>
      <c r="E84" s="24" t="s">
        <v>1715</v>
      </c>
      <c r="F84" s="21" t="s">
        <v>1714</v>
      </c>
      <c r="G84" s="23" t="s">
        <v>1712</v>
      </c>
      <c r="H84" s="21" t="s">
        <v>1714</v>
      </c>
      <c r="I84" s="23" t="s">
        <v>1708</v>
      </c>
      <c r="J84" s="21" t="s">
        <v>1714</v>
      </c>
      <c r="K84" s="25" t="s">
        <v>1724</v>
      </c>
      <c r="L84" s="21" t="s">
        <v>1714</v>
      </c>
      <c r="M84" s="22" t="s">
        <v>1716</v>
      </c>
      <c r="N84" s="22" t="s">
        <v>1717</v>
      </c>
      <c r="O84" s="14"/>
      <c r="P84" s="9"/>
    </row>
    <row r="85" spans="1:16" ht="18" thickTop="1" thickBot="1">
      <c r="A85" s="10"/>
      <c r="B85" s="61" t="str">
        <f>szkoły!D19</f>
        <v>Adamczyk Michalina</v>
      </c>
      <c r="C85" s="105">
        <v>9.5</v>
      </c>
      <c r="D85" s="106">
        <f>IF(C85&gt;="",0,IF(C85&gt;12.75,0,IF(C85&lt;7.38,(200+(7.38-C85)*100),VLOOKUP(-C85,baza!$E$3:$F$202,2,1))))</f>
        <v>61</v>
      </c>
      <c r="E85" s="105">
        <v>25.5</v>
      </c>
      <c r="F85" s="106">
        <f>IF(E85&lt;8,0,IF(E85&gt;77,(200+(E85-77)*2),VLOOKUP(E85,baza!$H$3:$J$202,3,0)))</f>
        <v>35</v>
      </c>
      <c r="G85" s="107"/>
      <c r="H85" s="106">
        <f>IF(G85&lt;80,0,IF(G85&gt;179,200+(G85-179),VLOOKUP(G85,baza!$I:$J,2,0)))</f>
        <v>0</v>
      </c>
      <c r="I85" s="107">
        <v>404</v>
      </c>
      <c r="J85" s="106">
        <f>IF(I85&lt;210,0,IF(I85&gt;593,(200+(I85-593)*2),VLOOKUP(I85,baza!$B$3:$F$202,5,1)))</f>
        <v>56</v>
      </c>
      <c r="K85" s="108">
        <v>214.16</v>
      </c>
      <c r="L85" s="106">
        <f>IF(K85="",0,IF(K85&gt;(-1*baza!$D$3),0,IF(K85&lt;132.11,INT(200+(132.11-K85)*5),VLOOKUP(-K85,baza!$D$1:$F$203,3,1))))</f>
        <v>48</v>
      </c>
      <c r="M85" s="109">
        <f t="shared" ref="M85:M90" si="22">(D85+F85+H85+J85)</f>
        <v>152</v>
      </c>
      <c r="N85" s="110">
        <f t="shared" ref="N85:N90" si="23">M85+L85</f>
        <v>200</v>
      </c>
      <c r="O85" s="14"/>
      <c r="P85" s="9"/>
    </row>
    <row r="86" spans="1:16" ht="18" thickTop="1" thickBot="1">
      <c r="A86" s="29" t="str">
        <f>O89 &amp; "  " &amp; "I DZIEŃ"</f>
        <v>908  I DZIEŃ</v>
      </c>
      <c r="B86" s="61" t="str">
        <f>szkoły!D20</f>
        <v>Dobrowolska Nikola</v>
      </c>
      <c r="C86" s="105">
        <v>9.09</v>
      </c>
      <c r="D86" s="106">
        <f>IF(C86&gt;="",0,IF(C86&gt;12.75,0,IF(C86&lt;7.38,(200+(7.38-C86)*100),VLOOKUP(-C86,baza!$E$3:$F$202,2,1))))</f>
        <v>74</v>
      </c>
      <c r="E86" s="105">
        <v>25.5</v>
      </c>
      <c r="F86" s="106">
        <f>IF(E86&lt;8,0,IF(E86&gt;77,(200+(E86-77)*2),VLOOKUP(E86,baza!$H$3:$J$202,3,0)))</f>
        <v>35</v>
      </c>
      <c r="G86" s="107"/>
      <c r="H86" s="106">
        <f>IF(G86&lt;80,0,IF(G86&gt;179,200+(G86-179),VLOOKUP(G86,baza!$I:$J,2,0)))</f>
        <v>0</v>
      </c>
      <c r="I86" s="107">
        <v>423</v>
      </c>
      <c r="J86" s="106">
        <f>IF(I86&lt;210,0,IF(I86&gt;593,(200+(I86-593)*2),VLOOKUP(I86,baza!$B$3:$F$202,5,1)))</f>
        <v>65</v>
      </c>
      <c r="K86" s="108">
        <v>214.8</v>
      </c>
      <c r="L86" s="106">
        <f>IF(K86="",0,IF(K86&gt;(-1*baza!$D$3),0,IF(K86&lt;132.11,INT(200+(132.11-K86)*5),VLOOKUP(-K86,baza!$D$1:$F$203,3,1))))</f>
        <v>47</v>
      </c>
      <c r="M86" s="109">
        <f t="shared" si="22"/>
        <v>174</v>
      </c>
      <c r="N86" s="110">
        <f t="shared" si="23"/>
        <v>221</v>
      </c>
      <c r="O86" s="14"/>
      <c r="P86" s="9"/>
    </row>
    <row r="87" spans="1:16" ht="18" thickTop="1" thickBot="1">
      <c r="A87" s="29" t="str">
        <f>O90 &amp; "  " &amp; "II DZIEŃ"</f>
        <v>1101  II DZIEŃ</v>
      </c>
      <c r="B87" s="61" t="str">
        <f>szkoły!D21</f>
        <v>Gryz Amelia</v>
      </c>
      <c r="C87" s="105">
        <v>9.5399999999999991</v>
      </c>
      <c r="D87" s="106">
        <f>IF(C87&gt;="",0,IF(C87&gt;12.75,0,IF(C87&lt;7.38,(200+(7.38-C87)*100),VLOOKUP(-C87,baza!$E$3:$F$202,2,1))))</f>
        <v>60</v>
      </c>
      <c r="E87" s="105">
        <v>37.5</v>
      </c>
      <c r="F87" s="106">
        <f>IF(E87&lt;8,0,IF(E87&gt;77,(200+(E87-77)*2),VLOOKUP(E87,baza!$H$3:$J$202,3,0)))</f>
        <v>66</v>
      </c>
      <c r="G87" s="107"/>
      <c r="H87" s="106">
        <f>IF(G87&lt;80,0,IF(G87&gt;179,200+(G87-179),VLOOKUP(G87,baza!$I:$J,2,0)))</f>
        <v>0</v>
      </c>
      <c r="I87" s="107">
        <v>410</v>
      </c>
      <c r="J87" s="106">
        <f>IF(I87&lt;210,0,IF(I87&gt;593,(200+(I87-593)*2),VLOOKUP(I87,baza!$B$3:$F$202,5,1)))</f>
        <v>59</v>
      </c>
      <c r="K87" s="108">
        <v>208.2</v>
      </c>
      <c r="L87" s="106">
        <f>IF(K87="",0,IF(K87&gt;(-1*baza!$D$3),0,IF(K87&lt;132.11,INT(200+(132.11-K87)*5),VLOOKUP(-K87,baza!$D$1:$F$203,3,1))))</f>
        <v>59</v>
      </c>
      <c r="M87" s="109">
        <f t="shared" si="22"/>
        <v>185</v>
      </c>
      <c r="N87" s="110">
        <f t="shared" si="23"/>
        <v>244</v>
      </c>
      <c r="O87" s="14"/>
      <c r="P87" s="9"/>
    </row>
    <row r="88" spans="1:16" ht="18" thickTop="1" thickBot="1">
      <c r="A88" s="10"/>
      <c r="B88" s="61" t="str">
        <f>szkoły!D22</f>
        <v>Walczak Łucja</v>
      </c>
      <c r="C88" s="105">
        <v>9.2200000000000006</v>
      </c>
      <c r="D88" s="106">
        <f>IF(C88&gt;="",0,IF(C88&gt;12.75,0,IF(C88&lt;7.38,(200+(7.38-C88)*100),VLOOKUP(-C88,baza!$E$3:$F$202,2,1))))</f>
        <v>70</v>
      </c>
      <c r="E88" s="105">
        <v>27.5</v>
      </c>
      <c r="F88" s="106">
        <f>IF(E88&lt;8,0,IF(E88&gt;77,(200+(E88-77)*2),VLOOKUP(E88,baza!$H$3:$J$202,3,0)))</f>
        <v>40</v>
      </c>
      <c r="G88" s="107"/>
      <c r="H88" s="106">
        <f>IF(G88&lt;80,0,IF(G88&gt;179,200+(G88-179),VLOOKUP(G88,baza!$I:$J,2,0)))</f>
        <v>0</v>
      </c>
      <c r="I88" s="107">
        <v>408</v>
      </c>
      <c r="J88" s="106">
        <f>IF(I88&lt;210,0,IF(I88&gt;593,(200+(I88-593)*2),VLOOKUP(I88,baza!$B$3:$F$202,5,1)))</f>
        <v>58</v>
      </c>
      <c r="K88" s="108">
        <v>212.23</v>
      </c>
      <c r="L88" s="106">
        <f>IF(K88="",0,IF(K88&gt;(-1*baza!$D$3),0,IF(K88&lt;132.11,INT(200+(132.11-K88)*5),VLOOKUP(-K88,baza!$D$1:$F$203,3,1))))</f>
        <v>51</v>
      </c>
      <c r="M88" s="109">
        <f t="shared" si="22"/>
        <v>168</v>
      </c>
      <c r="N88" s="110">
        <f t="shared" si="23"/>
        <v>219</v>
      </c>
      <c r="O88" s="14"/>
      <c r="P88" s="9"/>
    </row>
    <row r="89" spans="1:16" ht="18" thickTop="1" thickBot="1">
      <c r="A89" s="10"/>
      <c r="B89" s="61" t="str">
        <f>szkoły!D23</f>
        <v>Żaczek Maja</v>
      </c>
      <c r="C89" s="105">
        <v>11.87</v>
      </c>
      <c r="D89" s="106">
        <f>IF(C89&gt;="",0,IF(C89&gt;12.75,0,IF(C89&lt;7.38,(200+(7.38-C89)*100),VLOOKUP(-C89,baza!$E$3:$F$202,2,1))))</f>
        <v>10</v>
      </c>
      <c r="E89" s="105">
        <v>26</v>
      </c>
      <c r="F89" s="106">
        <f>IF(E89&lt;8,0,IF(E89&gt;77,(200+(E89-77)*2),VLOOKUP(E89,baza!$H$3:$J$202,3,0)))</f>
        <v>36</v>
      </c>
      <c r="G89" s="107"/>
      <c r="H89" s="106">
        <f>IF(G89&lt;80,0,IF(G89&gt;179,200+(G89-179),VLOOKUP(G89,baza!$I:$J,2,0)))</f>
        <v>0</v>
      </c>
      <c r="I89" s="107">
        <v>384</v>
      </c>
      <c r="J89" s="106">
        <f>IF(I89&lt;210,0,IF(I89&gt;593,(200+(I89-593)*2),VLOOKUP(I89,baza!$B$3:$F$202,5,1)))</f>
        <v>48</v>
      </c>
      <c r="K89" s="108">
        <v>208.79</v>
      </c>
      <c r="L89" s="106">
        <f>IF(K89="",0,IF(K89&gt;(-1*baza!$D$3),0,IF(K89&lt;132.11,INT(200+(132.11-K89)*5),VLOOKUP(-K89,baza!$D$1:$F$203,3,1))))</f>
        <v>58</v>
      </c>
      <c r="M89" s="109">
        <f t="shared" si="22"/>
        <v>94</v>
      </c>
      <c r="N89" s="110">
        <f t="shared" si="23"/>
        <v>152</v>
      </c>
      <c r="O89" s="15">
        <f>SUM(M85:M90)</f>
        <v>908</v>
      </c>
      <c r="P89" s="8" t="s">
        <v>1716</v>
      </c>
    </row>
    <row r="90" spans="1:16" ht="18" thickTop="1" thickBot="1">
      <c r="A90" s="10"/>
      <c r="B90" s="61" t="str">
        <f>szkoły!D24</f>
        <v>Żaczek Nikola</v>
      </c>
      <c r="C90" s="105">
        <v>9.69</v>
      </c>
      <c r="D90" s="106">
        <f>IF(C90&gt;="",0,IF(C90&gt;12.75,0,IF(C90&lt;7.38,(200+(7.38-C90)*100),VLOOKUP(-C90,baza!$E$3:$F$202,2,1))))</f>
        <v>56</v>
      </c>
      <c r="E90" s="105">
        <v>22</v>
      </c>
      <c r="F90" s="106">
        <f>IF(E90&lt;8,0,IF(E90&gt;77,(200+(E90-77)*2),VLOOKUP(E90,baza!$H$3:$J$202,3,0)))</f>
        <v>28</v>
      </c>
      <c r="G90" s="107"/>
      <c r="H90" s="106">
        <f>IF(G90&lt;80,0,IF(G90&gt;179,200+(G90-179),VLOOKUP(G90,baza!$I:$J,2,0)))</f>
        <v>0</v>
      </c>
      <c r="I90" s="107">
        <v>392</v>
      </c>
      <c r="J90" s="106">
        <f>IF(I90&lt;210,0,IF(I90&gt;593,(200+(I90-593)*2),VLOOKUP(I90,baza!$B$3:$F$202,5,1)))</f>
        <v>51</v>
      </c>
      <c r="K90" s="108">
        <v>155.97</v>
      </c>
      <c r="L90" s="106">
        <f>IF(K90="",0,IF(K90&gt;(-1*baza!$D$3),0,IF(K90&lt;132.11,INT(200+(132.11-K90)*5),VLOOKUP(-K90,baza!$D$1:$F$203,3,1))))</f>
        <v>82</v>
      </c>
      <c r="M90" s="109">
        <f t="shared" si="22"/>
        <v>135</v>
      </c>
      <c r="N90" s="110">
        <f t="shared" si="23"/>
        <v>217</v>
      </c>
      <c r="O90" s="15">
        <f>IF(COUNT(N85:N90)&lt;6,SUM(N85:N90),SUM(N85:N90)-MIN(N85:N90))</f>
        <v>1101</v>
      </c>
      <c r="P90" s="8" t="s">
        <v>1718</v>
      </c>
    </row>
    <row r="91" spans="1:16" ht="16.5" thickTop="1" thickBot="1">
      <c r="A91" s="13">
        <f>szkoły!A26</f>
        <v>0</v>
      </c>
      <c r="B91" s="60" t="s">
        <v>1713</v>
      </c>
      <c r="C91" s="21" t="s">
        <v>1710</v>
      </c>
      <c r="D91" s="21" t="s">
        <v>1714</v>
      </c>
      <c r="E91" s="24" t="s">
        <v>1715</v>
      </c>
      <c r="F91" s="21" t="s">
        <v>1714</v>
      </c>
      <c r="G91" s="23" t="s">
        <v>1712</v>
      </c>
      <c r="H91" s="21" t="s">
        <v>1714</v>
      </c>
      <c r="I91" s="23" t="s">
        <v>1708</v>
      </c>
      <c r="J91" s="21" t="s">
        <v>1714</v>
      </c>
      <c r="K91" s="25" t="s">
        <v>1724</v>
      </c>
      <c r="L91" s="21" t="s">
        <v>1714</v>
      </c>
      <c r="M91" s="22" t="s">
        <v>1716</v>
      </c>
      <c r="N91" s="22" t="s">
        <v>1717</v>
      </c>
      <c r="O91" s="14"/>
      <c r="P91" s="9"/>
    </row>
    <row r="92" spans="1:16" ht="18" thickTop="1" thickBot="1">
      <c r="A92" s="7"/>
      <c r="B92" s="61">
        <f>szkoły!A27</f>
        <v>0</v>
      </c>
      <c r="C92" s="105"/>
      <c r="D92" s="106">
        <f>IF(C92&gt;="",0,IF(C92&gt;12.75,0,IF(C92&lt;7.38,(200+(7.38-C92)*100),VLOOKUP(-C92,baza!$E$3:$F$202,2,1))))</f>
        <v>0</v>
      </c>
      <c r="E92" s="105"/>
      <c r="F92" s="106">
        <f>IF(E92&lt;8,0,IF(E92&gt;77,(200+(E92-77)*2),VLOOKUP(E92,baza!$H$3:$J$202,3,0)))</f>
        <v>0</v>
      </c>
      <c r="G92" s="107"/>
      <c r="H92" s="106">
        <f>IF(G92&lt;80,0,IF(G92&gt;179,200+(G92-179),VLOOKUP(G92,baza!$I:$J,2,0)))</f>
        <v>0</v>
      </c>
      <c r="I92" s="107"/>
      <c r="J92" s="106">
        <f>IF(I92&lt;210,0,IF(I92&gt;593,(200+(I92-593)*2),VLOOKUP(I92,baza!$B$3:$F$202,5,1)))</f>
        <v>0</v>
      </c>
      <c r="K92" s="108"/>
      <c r="L92" s="106">
        <f>IF(K92="",0,IF(K92&gt;(-1*baza!$D$3),0,IF(K92&lt;132.11,INT(200+(132.11-K92)*5),VLOOKUP(-K92,baza!$D$1:$F$203,3,1))))</f>
        <v>0</v>
      </c>
      <c r="M92" s="109">
        <f t="shared" ref="M92:M97" si="24">(D92+F92+H92+J92)</f>
        <v>0</v>
      </c>
      <c r="N92" s="110">
        <f t="shared" ref="N92:N97" si="25">M92+L92</f>
        <v>0</v>
      </c>
      <c r="O92" s="14"/>
      <c r="P92" s="9"/>
    </row>
    <row r="93" spans="1:16" ht="18" thickTop="1" thickBot="1">
      <c r="A93" s="29" t="str">
        <f>O96 &amp; "  " &amp; "I DZIEŃ"</f>
        <v>0  I DZIEŃ</v>
      </c>
      <c r="B93" s="61">
        <f>szkoły!A28</f>
        <v>0</v>
      </c>
      <c r="C93" s="105"/>
      <c r="D93" s="106">
        <f>IF(C93&gt;="",0,IF(C93&gt;12.75,0,IF(C93&lt;7.38,(200+(7.38-C93)*100),VLOOKUP(-C93,baza!$E$3:$F$202,2,1))))</f>
        <v>0</v>
      </c>
      <c r="E93" s="105"/>
      <c r="F93" s="106">
        <f>IF(E93&lt;8,0,IF(E93&gt;77,(200+(E93-77)*2),VLOOKUP(E93,baza!$H$3:$J$202,3,0)))</f>
        <v>0</v>
      </c>
      <c r="G93" s="107"/>
      <c r="H93" s="106">
        <f>IF(G93&lt;80,0,IF(G93&gt;179,200+(G93-179),VLOOKUP(G93,baza!$I:$J,2,0)))</f>
        <v>0</v>
      </c>
      <c r="I93" s="107"/>
      <c r="J93" s="106">
        <f>IF(I93&lt;210,0,IF(I93&gt;593,(200+(I93-593)*2),VLOOKUP(I93,baza!$B$3:$F$202,5,1)))</f>
        <v>0</v>
      </c>
      <c r="K93" s="108"/>
      <c r="L93" s="106">
        <f>IF(K93="",0,IF(K93&gt;(-1*baza!$D$3),0,IF(K93&lt;132.11,INT(200+(132.11-K93)*5),VLOOKUP(-K93,baza!$D$1:$F$203,3,1))))</f>
        <v>0</v>
      </c>
      <c r="M93" s="109">
        <f t="shared" si="24"/>
        <v>0</v>
      </c>
      <c r="N93" s="110">
        <f t="shared" si="25"/>
        <v>0</v>
      </c>
      <c r="O93" s="14"/>
      <c r="P93" s="9"/>
    </row>
    <row r="94" spans="1:16" ht="18" thickTop="1" thickBot="1">
      <c r="A94" s="29" t="str">
        <f>O97 &amp; "  " &amp; "II DZIEŃ"</f>
        <v>0  II DZIEŃ</v>
      </c>
      <c r="B94" s="61">
        <f>szkoły!A29</f>
        <v>0</v>
      </c>
      <c r="C94" s="105"/>
      <c r="D94" s="106">
        <f>IF(C94&gt;="",0,IF(C94&gt;12.75,0,IF(C94&lt;7.38,(200+(7.38-C94)*100),VLOOKUP(-C94,baza!$E$3:$F$202,2,1))))</f>
        <v>0</v>
      </c>
      <c r="E94" s="105"/>
      <c r="F94" s="106">
        <f>IF(E94&lt;8,0,IF(E94&gt;77,(200+(E94-77)*2),VLOOKUP(E94,baza!$H$3:$J$202,3,0)))</f>
        <v>0</v>
      </c>
      <c r="G94" s="107"/>
      <c r="H94" s="106">
        <f>IF(G94&lt;80,0,IF(G94&gt;179,200+(G94-179),VLOOKUP(G94,baza!$I:$J,2,0)))</f>
        <v>0</v>
      </c>
      <c r="I94" s="107"/>
      <c r="J94" s="106">
        <f>IF(I94&lt;210,0,IF(I94&gt;593,(200+(I94-593)*2),VLOOKUP(I94,baza!$B$3:$F$202,5,1)))</f>
        <v>0</v>
      </c>
      <c r="K94" s="108"/>
      <c r="L94" s="106">
        <f>IF(K94="",0,IF(K94&gt;(-1*baza!$D$3),0,IF(K94&lt;132.11,INT(200+(132.11-K94)*5),VLOOKUP(-K94,baza!$D$1:$F$203,3,1))))</f>
        <v>0</v>
      </c>
      <c r="M94" s="109">
        <f t="shared" si="24"/>
        <v>0</v>
      </c>
      <c r="N94" s="110">
        <f t="shared" si="25"/>
        <v>0</v>
      </c>
      <c r="O94" s="14"/>
      <c r="P94" s="9"/>
    </row>
    <row r="95" spans="1:16" ht="18" thickTop="1" thickBot="1">
      <c r="A95" s="7"/>
      <c r="B95" s="61">
        <f>szkoły!A30</f>
        <v>0</v>
      </c>
      <c r="C95" s="105"/>
      <c r="D95" s="106">
        <f>IF(C95&gt;="",0,IF(C95&gt;12.75,0,IF(C95&lt;7.38,(200+(7.38-C95)*100),VLOOKUP(-C95,baza!$E$3:$F$202,2,1))))</f>
        <v>0</v>
      </c>
      <c r="E95" s="105"/>
      <c r="F95" s="106">
        <f>IF(E95&lt;8,0,IF(E95&gt;77,(200+(E95-77)*2),VLOOKUP(E95,baza!$H$3:$J$202,3,0)))</f>
        <v>0</v>
      </c>
      <c r="G95" s="107"/>
      <c r="H95" s="106">
        <f>IF(G95&lt;80,0,IF(G95&gt;179,200+(G95-179),VLOOKUP(G95,baza!$I:$J,2,0)))</f>
        <v>0</v>
      </c>
      <c r="I95" s="107"/>
      <c r="J95" s="106">
        <f>IF(I95&lt;210,0,IF(I95&gt;593,(200+(I95-593)*2),VLOOKUP(I95,baza!$B$3:$F$202,5,1)))</f>
        <v>0</v>
      </c>
      <c r="K95" s="108"/>
      <c r="L95" s="106">
        <f>IF(K95="",0,IF(K95&gt;(-1*baza!$D$3),0,IF(K95&lt;132.11,INT(200+(132.11-K95)*5),VLOOKUP(-K95,baza!$D$1:$F$203,3,1))))</f>
        <v>0</v>
      </c>
      <c r="M95" s="109">
        <f t="shared" si="24"/>
        <v>0</v>
      </c>
      <c r="N95" s="110">
        <f t="shared" si="25"/>
        <v>0</v>
      </c>
      <c r="O95" s="14"/>
      <c r="P95" s="9"/>
    </row>
    <row r="96" spans="1:16" ht="18" thickTop="1" thickBot="1">
      <c r="A96" s="7"/>
      <c r="B96" s="61">
        <f>szkoły!A31</f>
        <v>0</v>
      </c>
      <c r="C96" s="105"/>
      <c r="D96" s="106">
        <f>IF(C96&gt;="",0,IF(C96&gt;12.75,0,IF(C96&lt;7.38,(200+(7.38-C96)*100),VLOOKUP(-C96,baza!$E$3:$F$202,2,1))))</f>
        <v>0</v>
      </c>
      <c r="E96" s="105"/>
      <c r="F96" s="106">
        <f>IF(E96&lt;8,0,IF(E96&gt;77,(200+(E96-77)*2),VLOOKUP(E96,baza!$H$3:$J$202,3,0)))</f>
        <v>0</v>
      </c>
      <c r="G96" s="107"/>
      <c r="H96" s="106">
        <f>IF(G96&lt;80,0,IF(G96&gt;179,200+(G96-179),VLOOKUP(G96,baza!$I:$J,2,0)))</f>
        <v>0</v>
      </c>
      <c r="I96" s="107"/>
      <c r="J96" s="106">
        <f>IF(I96&lt;210,0,IF(I96&gt;593,(200+(I96-593)*2),VLOOKUP(I96,baza!$B$3:$F$202,5,1)))</f>
        <v>0</v>
      </c>
      <c r="K96" s="108"/>
      <c r="L96" s="106">
        <f>IF(K96="",0,IF(K96&gt;(-1*baza!$D$3),0,IF(K96&lt;132.11,INT(200+(132.11-K96)*5),VLOOKUP(-K96,baza!$D$1:$F$203,3,1))))</f>
        <v>0</v>
      </c>
      <c r="M96" s="109">
        <f t="shared" si="24"/>
        <v>0</v>
      </c>
      <c r="N96" s="110">
        <f t="shared" si="25"/>
        <v>0</v>
      </c>
      <c r="O96" s="15">
        <f>SUM(M92:M97)</f>
        <v>0</v>
      </c>
      <c r="P96" s="8" t="s">
        <v>1716</v>
      </c>
    </row>
    <row r="97" spans="1:16" ht="18" thickTop="1" thickBot="1">
      <c r="A97" s="7"/>
      <c r="B97" s="61">
        <f>szkoły!A32</f>
        <v>0</v>
      </c>
      <c r="C97" s="105"/>
      <c r="D97" s="106">
        <f>IF(C97&gt;="",0,IF(C97&gt;12.75,0,IF(C97&lt;7.38,(200+(7.38-C97)*100),VLOOKUP(-C97,baza!$E$3:$F$202,2,1))))</f>
        <v>0</v>
      </c>
      <c r="E97" s="105"/>
      <c r="F97" s="106">
        <f>IF(E97&lt;8,0,IF(E97&gt;77,(200+(E97-77)*2),VLOOKUP(E97,baza!$H$3:$J$202,3,0)))</f>
        <v>0</v>
      </c>
      <c r="G97" s="107"/>
      <c r="H97" s="106">
        <f>IF(G97&lt;80,0,IF(G97&gt;179,200+(G97-179),VLOOKUP(G97,baza!$I:$J,2,0)))</f>
        <v>0</v>
      </c>
      <c r="I97" s="107"/>
      <c r="J97" s="106">
        <f>IF(I97&lt;210,0,IF(I97&gt;593,(200+(I97-593)*2),VLOOKUP(I97,baza!$B$3:$F$202,5,1)))</f>
        <v>0</v>
      </c>
      <c r="K97" s="108"/>
      <c r="L97" s="106">
        <f>IF(K97="",0,IF(K97&gt;(-1*baza!$D$3),0,IF(K97&lt;132.11,INT(200+(132.11-K97)*5),VLOOKUP(-K97,baza!$D$1:$F$203,3,1))))</f>
        <v>0</v>
      </c>
      <c r="M97" s="109">
        <f t="shared" si="24"/>
        <v>0</v>
      </c>
      <c r="N97" s="110">
        <f t="shared" si="25"/>
        <v>0</v>
      </c>
      <c r="O97" s="15">
        <f>IF(COUNT(N92:N97)&lt;6,SUM(N92:N97),SUM(N92:N97)-MIN(N92:N97))</f>
        <v>0</v>
      </c>
      <c r="P97" s="8" t="s">
        <v>1718</v>
      </c>
    </row>
    <row r="98" spans="1:16" ht="16.5" thickTop="1" thickBot="1">
      <c r="A98" s="13">
        <f>szkoły!B26</f>
        <v>0</v>
      </c>
      <c r="B98" s="60" t="s">
        <v>1713</v>
      </c>
      <c r="C98" s="21" t="s">
        <v>1710</v>
      </c>
      <c r="D98" s="21" t="s">
        <v>1714</v>
      </c>
      <c r="E98" s="24" t="s">
        <v>1715</v>
      </c>
      <c r="F98" s="21" t="s">
        <v>1714</v>
      </c>
      <c r="G98" s="23" t="s">
        <v>1712</v>
      </c>
      <c r="H98" s="21" t="s">
        <v>1714</v>
      </c>
      <c r="I98" s="23" t="s">
        <v>1708</v>
      </c>
      <c r="J98" s="21" t="s">
        <v>1714</v>
      </c>
      <c r="K98" s="25" t="s">
        <v>1724</v>
      </c>
      <c r="L98" s="21" t="s">
        <v>1714</v>
      </c>
      <c r="M98" s="22" t="s">
        <v>1716</v>
      </c>
      <c r="N98" s="22" t="s">
        <v>1717</v>
      </c>
      <c r="O98" s="14"/>
      <c r="P98" s="9"/>
    </row>
    <row r="99" spans="1:16" ht="18" thickTop="1" thickBot="1">
      <c r="A99" s="10"/>
      <c r="B99" s="61">
        <f>szkoły!B27</f>
        <v>0</v>
      </c>
      <c r="C99" s="105"/>
      <c r="D99" s="106">
        <f>IF(C99&gt;="",0,IF(C99&gt;12.75,0,IF(C99&lt;7.38,(200+(7.38-C99)*100),VLOOKUP(-C99,baza!$E$3:$F$202,2,1))))</f>
        <v>0</v>
      </c>
      <c r="E99" s="105"/>
      <c r="F99" s="106">
        <f>IF(E99&lt;8,0,IF(E99&gt;77,(200+(E99-77)*2),VLOOKUP(E99,baza!$H$3:$J$202,3,0)))</f>
        <v>0</v>
      </c>
      <c r="G99" s="107"/>
      <c r="H99" s="106">
        <f>IF(G99&lt;80,0,IF(G99&gt;179,200+(G99-179),VLOOKUP(G99,baza!$I:$J,2,0)))</f>
        <v>0</v>
      </c>
      <c r="I99" s="107"/>
      <c r="J99" s="106">
        <f>IF(I99&lt;210,0,IF(I99&gt;593,(200+(I99-593)*2),VLOOKUP(I99,baza!$B$3:$F$202,5,1)))</f>
        <v>0</v>
      </c>
      <c r="K99" s="108"/>
      <c r="L99" s="106">
        <f>IF(K99="",0,IF(K99&gt;(-1*baza!$D$3),0,IF(K99&lt;132.11,INT(200+(132.11-K99)*5),VLOOKUP(-K99,baza!$D$1:$F$203,3,1))))</f>
        <v>0</v>
      </c>
      <c r="M99" s="109">
        <f t="shared" ref="M99:M104" si="26">(D99+F99+H99+J99)</f>
        <v>0</v>
      </c>
      <c r="N99" s="110">
        <f t="shared" ref="N99:N104" si="27">M99+L99</f>
        <v>0</v>
      </c>
      <c r="O99" s="14"/>
      <c r="P99" s="9"/>
    </row>
    <row r="100" spans="1:16" ht="18" thickTop="1" thickBot="1">
      <c r="A100" s="29" t="str">
        <f>O103 &amp; "  " &amp; "I DZIEŃ"</f>
        <v>0  I DZIEŃ</v>
      </c>
      <c r="B100" s="61">
        <f>szkoły!B28</f>
        <v>0</v>
      </c>
      <c r="C100" s="105"/>
      <c r="D100" s="106">
        <f>IF(C100&gt;="",0,IF(C100&gt;12.75,0,IF(C100&lt;7.38,(200+(7.38-C100)*100),VLOOKUP(-C100,baza!$E$3:$F$202,2,1))))</f>
        <v>0</v>
      </c>
      <c r="E100" s="105"/>
      <c r="F100" s="106">
        <f>IF(E100&lt;8,0,IF(E100&gt;77,(200+(E100-77)*2),VLOOKUP(E100,baza!$H$3:$J$202,3,0)))</f>
        <v>0</v>
      </c>
      <c r="G100" s="107"/>
      <c r="H100" s="106">
        <f>IF(G100&lt;80,0,IF(G100&gt;179,200+(G100-179),VLOOKUP(G100,baza!$I:$J,2,0)))</f>
        <v>0</v>
      </c>
      <c r="I100" s="107"/>
      <c r="J100" s="106">
        <f>IF(I100&lt;210,0,IF(I100&gt;593,(200+(I100-593)*2),VLOOKUP(I100,baza!$B$3:$F$202,5,1)))</f>
        <v>0</v>
      </c>
      <c r="K100" s="108"/>
      <c r="L100" s="106">
        <f>IF(K100="",0,IF(K100&gt;(-1*baza!$D$3),0,IF(K100&lt;132.11,INT(200+(132.11-K100)*5),VLOOKUP(-K100,baza!$D$1:$F$203,3,1))))</f>
        <v>0</v>
      </c>
      <c r="M100" s="109">
        <f t="shared" si="26"/>
        <v>0</v>
      </c>
      <c r="N100" s="110">
        <f t="shared" si="27"/>
        <v>0</v>
      </c>
      <c r="O100" s="14"/>
      <c r="P100" s="9"/>
    </row>
    <row r="101" spans="1:16" ht="18" thickTop="1" thickBot="1">
      <c r="A101" s="29" t="str">
        <f>O104 &amp; "  " &amp; "II DZIEŃ"</f>
        <v>0  II DZIEŃ</v>
      </c>
      <c r="B101" s="61">
        <f>szkoły!B29</f>
        <v>0</v>
      </c>
      <c r="C101" s="105"/>
      <c r="D101" s="106">
        <f>IF(C101&gt;="",0,IF(C101&gt;12.75,0,IF(C101&lt;7.38,(200+(7.38-C101)*100),VLOOKUP(-C101,baza!$E$3:$F$202,2,1))))</f>
        <v>0</v>
      </c>
      <c r="E101" s="105"/>
      <c r="F101" s="106">
        <f>IF(E101&lt;8,0,IF(E101&gt;77,(200+(E101-77)*2),VLOOKUP(E101,baza!$H$3:$J$202,3,0)))</f>
        <v>0</v>
      </c>
      <c r="G101" s="107"/>
      <c r="H101" s="106">
        <f>IF(G101&lt;80,0,IF(G101&gt;179,200+(G101-179),VLOOKUP(G101,baza!$I:$J,2,0)))</f>
        <v>0</v>
      </c>
      <c r="I101" s="107"/>
      <c r="J101" s="106">
        <f>IF(I101&lt;210,0,IF(I101&gt;593,(200+(I101-593)*2),VLOOKUP(I101,baza!$B$3:$F$202,5,1)))</f>
        <v>0</v>
      </c>
      <c r="K101" s="108"/>
      <c r="L101" s="106">
        <f>IF(K101="",0,IF(K101&gt;(-1*baza!$D$3),0,IF(K101&lt;132.11,INT(200+(132.11-K101)*5),VLOOKUP(-K101,baza!$D$1:$F$203,3,1))))</f>
        <v>0</v>
      </c>
      <c r="M101" s="109">
        <f t="shared" si="26"/>
        <v>0</v>
      </c>
      <c r="N101" s="110">
        <f t="shared" si="27"/>
        <v>0</v>
      </c>
      <c r="O101" s="14"/>
      <c r="P101" s="9"/>
    </row>
    <row r="102" spans="1:16" ht="18" thickTop="1" thickBot="1">
      <c r="A102" s="10"/>
      <c r="B102" s="61">
        <f>szkoły!B30</f>
        <v>0</v>
      </c>
      <c r="C102" s="105"/>
      <c r="D102" s="106">
        <f>IF(C102&gt;="",0,IF(C102&gt;12.75,0,IF(C102&lt;7.38,(200+(7.38-C102)*100),VLOOKUP(-C102,baza!$E$3:$F$202,2,1))))</f>
        <v>0</v>
      </c>
      <c r="E102" s="105"/>
      <c r="F102" s="106">
        <f>IF(E102&lt;8,0,IF(E102&gt;77,(200+(E102-77)*2),VLOOKUP(E102,baza!$H$3:$J$202,3,0)))</f>
        <v>0</v>
      </c>
      <c r="G102" s="107"/>
      <c r="H102" s="106">
        <f>IF(G102&lt;80,0,IF(G102&gt;179,200+(G102-179),VLOOKUP(G102,baza!$I:$J,2,0)))</f>
        <v>0</v>
      </c>
      <c r="I102" s="107"/>
      <c r="J102" s="106">
        <f>IF(I102&lt;210,0,IF(I102&gt;593,(200+(I102-593)*2),VLOOKUP(I102,baza!$B$3:$F$202,5,1)))</f>
        <v>0</v>
      </c>
      <c r="K102" s="108"/>
      <c r="L102" s="106">
        <f>IF(K102="",0,IF(K102&gt;(-1*baza!$D$3),0,IF(K102&lt;132.11,INT(200+(132.11-K102)*5),VLOOKUP(-K102,baza!$D$1:$F$203,3,1))))</f>
        <v>0</v>
      </c>
      <c r="M102" s="109">
        <f t="shared" si="26"/>
        <v>0</v>
      </c>
      <c r="N102" s="110">
        <f t="shared" si="27"/>
        <v>0</v>
      </c>
      <c r="O102" s="14"/>
      <c r="P102" s="9"/>
    </row>
    <row r="103" spans="1:16" ht="18" thickTop="1" thickBot="1">
      <c r="A103" s="10"/>
      <c r="B103" s="61">
        <f>szkoły!B31</f>
        <v>0</v>
      </c>
      <c r="C103" s="105"/>
      <c r="D103" s="106">
        <f>IF(C103&gt;="",0,IF(C103&gt;12.75,0,IF(C103&lt;7.38,(200+(7.38-C103)*100),VLOOKUP(-C103,baza!$E$3:$F$202,2,1))))</f>
        <v>0</v>
      </c>
      <c r="E103" s="105"/>
      <c r="F103" s="106">
        <f>IF(E103&lt;8,0,IF(E103&gt;77,(200+(E103-77)*2),VLOOKUP(E103,baza!$H$3:$J$202,3,0)))</f>
        <v>0</v>
      </c>
      <c r="G103" s="107"/>
      <c r="H103" s="106">
        <f>IF(G103&lt;80,0,IF(G103&gt;179,200+(G103-179),VLOOKUP(G103,baza!$I:$J,2,0)))</f>
        <v>0</v>
      </c>
      <c r="I103" s="107"/>
      <c r="J103" s="106">
        <f>IF(I103&lt;210,0,IF(I103&gt;593,(200+(I103-593)*2),VLOOKUP(I103,baza!$B$3:$F$202,5,1)))</f>
        <v>0</v>
      </c>
      <c r="K103" s="108"/>
      <c r="L103" s="106">
        <f>IF(K103="",0,IF(K103&gt;(-1*baza!$D$3),0,IF(K103&lt;132.11,INT(200+(132.11-K103)*5),VLOOKUP(-K103,baza!$D$1:$F$203,3,1))))</f>
        <v>0</v>
      </c>
      <c r="M103" s="109">
        <f t="shared" si="26"/>
        <v>0</v>
      </c>
      <c r="N103" s="110">
        <f t="shared" si="27"/>
        <v>0</v>
      </c>
      <c r="O103" s="15">
        <f>SUM(M99:M104)</f>
        <v>0</v>
      </c>
      <c r="P103" s="8" t="s">
        <v>1716</v>
      </c>
    </row>
    <row r="104" spans="1:16" ht="18" thickTop="1" thickBot="1">
      <c r="A104" s="10"/>
      <c r="B104" s="61">
        <f>szkoły!B32</f>
        <v>0</v>
      </c>
      <c r="C104" s="105"/>
      <c r="D104" s="106">
        <f>IF(C104&gt;="",0,IF(C104&gt;12.75,0,IF(C104&lt;7.38,(200+(7.38-C104)*100),VLOOKUP(-C104,baza!$E$3:$F$202,2,1))))</f>
        <v>0</v>
      </c>
      <c r="E104" s="105"/>
      <c r="F104" s="106">
        <f>IF(E104&lt;8,0,IF(E104&gt;77,(200+(E104-77)*2),VLOOKUP(E104,baza!$H$3:$J$202,3,0)))</f>
        <v>0</v>
      </c>
      <c r="G104" s="107"/>
      <c r="H104" s="106">
        <f>IF(G104&lt;80,0,IF(G104&gt;179,200+(G104-179),VLOOKUP(G104,baza!$I:$J,2,0)))</f>
        <v>0</v>
      </c>
      <c r="I104" s="107"/>
      <c r="J104" s="106">
        <f>IF(I104&lt;210,0,IF(I104&gt;593,(200+(I104-593)*2),VLOOKUP(I104,baza!$B$3:$F$202,5,1)))</f>
        <v>0</v>
      </c>
      <c r="K104" s="108"/>
      <c r="L104" s="106">
        <f>IF(K104="",0,IF(K104&gt;(-1*baza!$D$3),0,IF(K104&lt;132.11,INT(200+(132.11-K104)*5),VLOOKUP(-K104,baza!$D$1:$F$203,3,1))))</f>
        <v>0</v>
      </c>
      <c r="M104" s="109">
        <f t="shared" si="26"/>
        <v>0</v>
      </c>
      <c r="N104" s="110">
        <f t="shared" si="27"/>
        <v>0</v>
      </c>
      <c r="O104" s="15">
        <f>IF(COUNT(N99:N104)&lt;6,SUM(N99:N104),SUM(N99:N104)-MIN(N99:N104))</f>
        <v>0</v>
      </c>
      <c r="P104" s="8" t="s">
        <v>1718</v>
      </c>
    </row>
    <row r="105" spans="1:16" ht="16.5" thickTop="1" thickBot="1">
      <c r="A105" s="13">
        <f>szkoły!C26</f>
        <v>0</v>
      </c>
      <c r="B105" s="60" t="s">
        <v>1713</v>
      </c>
      <c r="C105" s="21" t="s">
        <v>1710</v>
      </c>
      <c r="D105" s="21" t="s">
        <v>1714</v>
      </c>
      <c r="E105" s="24" t="s">
        <v>1715</v>
      </c>
      <c r="F105" s="21" t="s">
        <v>1714</v>
      </c>
      <c r="G105" s="23" t="s">
        <v>1712</v>
      </c>
      <c r="H105" s="21" t="s">
        <v>1714</v>
      </c>
      <c r="I105" s="23" t="s">
        <v>1708</v>
      </c>
      <c r="J105" s="21" t="s">
        <v>1714</v>
      </c>
      <c r="K105" s="25" t="s">
        <v>1724</v>
      </c>
      <c r="L105" s="21" t="s">
        <v>1714</v>
      </c>
      <c r="M105" s="22" t="s">
        <v>1716</v>
      </c>
      <c r="N105" s="22" t="s">
        <v>1717</v>
      </c>
      <c r="O105" s="14"/>
      <c r="P105" s="9"/>
    </row>
    <row r="106" spans="1:16" ht="18" thickTop="1" thickBot="1">
      <c r="A106" s="7"/>
      <c r="B106" s="61">
        <f>szkoły!C27</f>
        <v>0</v>
      </c>
      <c r="C106" s="105"/>
      <c r="D106" s="106">
        <f>IF(C106&gt;="",0,IF(C106&gt;12.75,0,IF(C106&lt;7.38,(200+(7.38-C106)*100),VLOOKUP(-C106,baza!$E$3:$F$202,2,1))))</f>
        <v>0</v>
      </c>
      <c r="E106" s="105"/>
      <c r="F106" s="106">
        <f>IF(E106&lt;8,0,IF(E106&gt;77,(200+(E106-77)*2),VLOOKUP(E106,baza!$H$3:$J$202,3,0)))</f>
        <v>0</v>
      </c>
      <c r="G106" s="107"/>
      <c r="H106" s="106">
        <f>IF(G106&lt;80,0,IF(G106&gt;179,200+(G106-179),VLOOKUP(G106,baza!$I:$J,2,0)))</f>
        <v>0</v>
      </c>
      <c r="I106" s="107"/>
      <c r="J106" s="106">
        <f>IF(I106&lt;210,0,IF(I106&gt;593,(200+(I106-593)*2),VLOOKUP(I106,baza!$B$3:$F$202,5,1)))</f>
        <v>0</v>
      </c>
      <c r="K106" s="108"/>
      <c r="L106" s="106">
        <f>IF(K106="",0,IF(K106&gt;(-1*baza!$D$3),0,IF(K106&lt;132.11,INT(200+(132.11-K106)*5),VLOOKUP(-K106,baza!$D$1:$F$203,3,1))))</f>
        <v>0</v>
      </c>
      <c r="M106" s="109">
        <f t="shared" ref="M106:M111" si="28">(D106+F106+H106+J106)</f>
        <v>0</v>
      </c>
      <c r="N106" s="110">
        <f t="shared" ref="N106:N111" si="29">M106+L106</f>
        <v>0</v>
      </c>
      <c r="O106" s="14"/>
      <c r="P106" s="9"/>
    </row>
    <row r="107" spans="1:16" ht="18" thickTop="1" thickBot="1">
      <c r="A107" s="29" t="str">
        <f>O110 &amp; "  " &amp; "I DZIEŃ"</f>
        <v>0  I DZIEŃ</v>
      </c>
      <c r="B107" s="61">
        <f>szkoły!C28</f>
        <v>0</v>
      </c>
      <c r="C107" s="105"/>
      <c r="D107" s="106">
        <f>IF(C107&gt;="",0,IF(C107&gt;12.75,0,IF(C107&lt;7.38,(200+(7.38-C107)*100),VLOOKUP(-C107,baza!$E$3:$F$202,2,1))))</f>
        <v>0</v>
      </c>
      <c r="E107" s="105"/>
      <c r="F107" s="106">
        <f>IF(E107&lt;8,0,IF(E107&gt;77,(200+(E107-77)*2),VLOOKUP(E107,baza!$H$3:$J$202,3,0)))</f>
        <v>0</v>
      </c>
      <c r="G107" s="107"/>
      <c r="H107" s="106">
        <f>IF(G107&lt;80,0,IF(G107&gt;179,200+(G107-179),VLOOKUP(G107,baza!$I:$J,2,0)))</f>
        <v>0</v>
      </c>
      <c r="I107" s="107"/>
      <c r="J107" s="106">
        <f>IF(I107&lt;210,0,IF(I107&gt;593,(200+(I107-593)*2),VLOOKUP(I107,baza!$B$3:$F$202,5,1)))</f>
        <v>0</v>
      </c>
      <c r="K107" s="108"/>
      <c r="L107" s="106">
        <f>IF(K107="",0,IF(K107&gt;(-1*baza!$D$3),0,IF(K107&lt;132.11,INT(200+(132.11-K107)*5),VLOOKUP(-K107,baza!$D$1:$F$203,3,1))))</f>
        <v>0</v>
      </c>
      <c r="M107" s="109">
        <f t="shared" si="28"/>
        <v>0</v>
      </c>
      <c r="N107" s="110">
        <f t="shared" si="29"/>
        <v>0</v>
      </c>
      <c r="O107" s="14"/>
      <c r="P107" s="9"/>
    </row>
    <row r="108" spans="1:16" ht="18" thickTop="1" thickBot="1">
      <c r="A108" s="29" t="str">
        <f>O111 &amp; "  " &amp; "II DZIEŃ"</f>
        <v>0  II DZIEŃ</v>
      </c>
      <c r="B108" s="61">
        <f>szkoły!C29</f>
        <v>0</v>
      </c>
      <c r="C108" s="105"/>
      <c r="D108" s="106">
        <f>IF(C108&gt;="",0,IF(C108&gt;12.75,0,IF(C108&lt;7.38,(200+(7.38-C108)*100),VLOOKUP(-C108,baza!$E$3:$F$202,2,1))))</f>
        <v>0</v>
      </c>
      <c r="E108" s="105"/>
      <c r="F108" s="106">
        <f>IF(E108&lt;8,0,IF(E108&gt;77,(200+(E108-77)*2),VLOOKUP(E108,baza!$H$3:$J$202,3,0)))</f>
        <v>0</v>
      </c>
      <c r="G108" s="107"/>
      <c r="H108" s="106">
        <f>IF(G108&lt;80,0,IF(G108&gt;179,200+(G108-179),VLOOKUP(G108,baza!$I:$J,2,0)))</f>
        <v>0</v>
      </c>
      <c r="I108" s="107"/>
      <c r="J108" s="106">
        <f>IF(I108&lt;210,0,IF(I108&gt;593,(200+(I108-593)*2),VLOOKUP(I108,baza!$B$3:$F$202,5,1)))</f>
        <v>0</v>
      </c>
      <c r="K108" s="108"/>
      <c r="L108" s="106">
        <f>IF(K108="",0,IF(K108&gt;(-1*baza!$D$3),0,IF(K108&lt;132.11,INT(200+(132.11-K108)*5),VLOOKUP(-K108,baza!$D$1:$F$203,3,1))))</f>
        <v>0</v>
      </c>
      <c r="M108" s="109">
        <f t="shared" si="28"/>
        <v>0</v>
      </c>
      <c r="N108" s="110">
        <f t="shared" si="29"/>
        <v>0</v>
      </c>
      <c r="O108" s="14"/>
      <c r="P108" s="9"/>
    </row>
    <row r="109" spans="1:16" ht="18" thickTop="1" thickBot="1">
      <c r="A109" s="7"/>
      <c r="B109" s="61">
        <f>szkoły!C30</f>
        <v>0</v>
      </c>
      <c r="C109" s="105"/>
      <c r="D109" s="106">
        <f>IF(C109&gt;="",0,IF(C109&gt;12.75,0,IF(C109&lt;7.38,(200+(7.38-C109)*100),VLOOKUP(-C109,baza!$E$3:$F$202,2,1))))</f>
        <v>0</v>
      </c>
      <c r="E109" s="105"/>
      <c r="F109" s="106">
        <f>IF(E109&lt;8,0,IF(E109&gt;77,(200+(E109-77)*2),VLOOKUP(E109,baza!$H$3:$J$202,3,0)))</f>
        <v>0</v>
      </c>
      <c r="G109" s="107"/>
      <c r="H109" s="106">
        <f>IF(G109&lt;80,0,IF(G109&gt;179,200+(G109-179),VLOOKUP(G109,baza!$I:$J,2,0)))</f>
        <v>0</v>
      </c>
      <c r="I109" s="107"/>
      <c r="J109" s="106">
        <f>IF(I109&lt;210,0,IF(I109&gt;593,(200+(I109-593)*2),VLOOKUP(I109,baza!$B$3:$F$202,5,1)))</f>
        <v>0</v>
      </c>
      <c r="K109" s="108"/>
      <c r="L109" s="106">
        <f>IF(K109="",0,IF(K109&gt;(-1*baza!$D$3),0,IF(K109&lt;132.11,INT(200+(132.11-K109)*5),VLOOKUP(-K109,baza!$D$1:$F$203,3,1))))</f>
        <v>0</v>
      </c>
      <c r="M109" s="109">
        <f t="shared" si="28"/>
        <v>0</v>
      </c>
      <c r="N109" s="110">
        <f t="shared" si="29"/>
        <v>0</v>
      </c>
      <c r="O109" s="14"/>
      <c r="P109" s="9"/>
    </row>
    <row r="110" spans="1:16" ht="18" thickTop="1" thickBot="1">
      <c r="A110" s="7"/>
      <c r="B110" s="61">
        <f>szkoły!C31</f>
        <v>0</v>
      </c>
      <c r="C110" s="105"/>
      <c r="D110" s="106">
        <f>IF(C110&gt;="",0,IF(C110&gt;12.75,0,IF(C110&lt;7.38,(200+(7.38-C110)*100),VLOOKUP(-C110,baza!$E$3:$F$202,2,1))))</f>
        <v>0</v>
      </c>
      <c r="E110" s="105"/>
      <c r="F110" s="106">
        <f>IF(E110&lt;8,0,IF(E110&gt;77,(200+(E110-77)*2),VLOOKUP(E110,baza!$H$3:$J$202,3,0)))</f>
        <v>0</v>
      </c>
      <c r="G110" s="107"/>
      <c r="H110" s="106">
        <f>IF(G110&lt;80,0,IF(G110&gt;179,200+(G110-179),VLOOKUP(G110,baza!$I:$J,2,0)))</f>
        <v>0</v>
      </c>
      <c r="I110" s="107"/>
      <c r="J110" s="106">
        <f>IF(I110&lt;210,0,IF(I110&gt;593,(200+(I110-593)*2),VLOOKUP(I110,baza!$B$3:$F$202,5,1)))</f>
        <v>0</v>
      </c>
      <c r="K110" s="108"/>
      <c r="L110" s="106">
        <f>IF(K110="",0,IF(K110&gt;(-1*baza!$D$3),0,IF(K110&lt;132.11,INT(200+(132.11-K110)*5),VLOOKUP(-K110,baza!$D$1:$F$203,3,1))))</f>
        <v>0</v>
      </c>
      <c r="M110" s="109">
        <f t="shared" si="28"/>
        <v>0</v>
      </c>
      <c r="N110" s="110">
        <f t="shared" si="29"/>
        <v>0</v>
      </c>
      <c r="O110" s="15">
        <f>SUM(M106:M111)</f>
        <v>0</v>
      </c>
      <c r="P110" s="8" t="s">
        <v>1716</v>
      </c>
    </row>
    <row r="111" spans="1:16" ht="18" thickTop="1" thickBot="1">
      <c r="A111" s="7"/>
      <c r="B111" s="61">
        <f>szkoły!C32</f>
        <v>0</v>
      </c>
      <c r="C111" s="105"/>
      <c r="D111" s="106">
        <f>IF(C111&gt;="",0,IF(C111&gt;12.75,0,IF(C111&lt;7.38,(200+(7.38-C111)*100),VLOOKUP(-C111,baza!$E$3:$F$202,2,1))))</f>
        <v>0</v>
      </c>
      <c r="E111" s="105"/>
      <c r="F111" s="106">
        <f>IF(E111&lt;8,0,IF(E111&gt;77,(200+(E111-77)*2),VLOOKUP(E111,baza!$H$3:$J$202,3,0)))</f>
        <v>0</v>
      </c>
      <c r="G111" s="107"/>
      <c r="H111" s="106">
        <f>IF(G111&lt;80,0,IF(G111&gt;179,200+(G111-179),VLOOKUP(G111,baza!$I:$J,2,0)))</f>
        <v>0</v>
      </c>
      <c r="I111" s="107"/>
      <c r="J111" s="106">
        <f>IF(I111&lt;210,0,IF(I111&gt;593,(200+(I111-593)*2),VLOOKUP(I111,baza!$B$3:$F$202,5,1)))</f>
        <v>0</v>
      </c>
      <c r="K111" s="108"/>
      <c r="L111" s="106">
        <f>IF(K111="",0,IF(K111&gt;(-1*baza!$D$3),0,IF(K111&lt;132.11,INT(200+(132.11-K111)*5),VLOOKUP(-K111,baza!$D$1:$F$203,3,1))))</f>
        <v>0</v>
      </c>
      <c r="M111" s="109">
        <f t="shared" si="28"/>
        <v>0</v>
      </c>
      <c r="N111" s="110">
        <f t="shared" si="29"/>
        <v>0</v>
      </c>
      <c r="O111" s="15">
        <f>IF(COUNT(N106:N111)&lt;6,SUM(N106:N111),SUM(N106:N111)-MIN(N106:N111))</f>
        <v>0</v>
      </c>
      <c r="P111" s="8" t="s">
        <v>1718</v>
      </c>
    </row>
    <row r="112" spans="1:16" ht="16.5" thickTop="1" thickBot="1">
      <c r="A112" s="13">
        <f>szkoły!D26</f>
        <v>0</v>
      </c>
      <c r="B112" s="60" t="s">
        <v>1713</v>
      </c>
      <c r="C112" s="21" t="s">
        <v>1710</v>
      </c>
      <c r="D112" s="21" t="s">
        <v>1714</v>
      </c>
      <c r="E112" s="24" t="s">
        <v>1715</v>
      </c>
      <c r="F112" s="21" t="s">
        <v>1714</v>
      </c>
      <c r="G112" s="23" t="s">
        <v>1712</v>
      </c>
      <c r="H112" s="21" t="s">
        <v>1714</v>
      </c>
      <c r="I112" s="23" t="s">
        <v>1708</v>
      </c>
      <c r="J112" s="21" t="s">
        <v>1714</v>
      </c>
      <c r="K112" s="25" t="s">
        <v>1724</v>
      </c>
      <c r="L112" s="21" t="s">
        <v>1714</v>
      </c>
      <c r="M112" s="22" t="s">
        <v>1716</v>
      </c>
      <c r="N112" s="22" t="s">
        <v>1717</v>
      </c>
      <c r="O112" s="14"/>
      <c r="P112" s="9"/>
    </row>
    <row r="113" spans="1:16" ht="18" thickTop="1" thickBot="1">
      <c r="A113" s="10"/>
      <c r="B113" s="61">
        <f>szkoły!D27</f>
        <v>0</v>
      </c>
      <c r="C113" s="105"/>
      <c r="D113" s="106">
        <f>IF(C113&gt;="",0,IF(C113&gt;12.75,0,IF(C113&lt;7.38,(200+(7.38-C113)*100),VLOOKUP(-C113,baza!$E$3:$F$202,2,1))))</f>
        <v>0</v>
      </c>
      <c r="E113" s="105"/>
      <c r="F113" s="106">
        <f>IF(E113&lt;8,0,IF(E113&gt;77,(200+(E113-77)*2),VLOOKUP(E113,baza!$H$3:$J$202,3,0)))</f>
        <v>0</v>
      </c>
      <c r="G113" s="107"/>
      <c r="H113" s="106">
        <f>IF(G113&lt;80,0,IF(G113&gt;179,200+(G113-179),VLOOKUP(G113,baza!$I:$J,2,0)))</f>
        <v>0</v>
      </c>
      <c r="I113" s="107"/>
      <c r="J113" s="106">
        <f>IF(I113&lt;210,0,IF(I113&gt;593,(200+(I113-593)*2),VLOOKUP(I113,baza!$B$3:$F$202,5,1)))</f>
        <v>0</v>
      </c>
      <c r="K113" s="108"/>
      <c r="L113" s="106">
        <f>IF(K113="",0,IF(K113&gt;(-1*baza!$D$3),0,IF(K113&lt;132.11,INT(200+(132.11-K113)*5),VLOOKUP(-K113,baza!$D$1:$F$203,3,1))))</f>
        <v>0</v>
      </c>
      <c r="M113" s="109">
        <f t="shared" ref="M113:M118" si="30">(D113+F113+H113+J113)</f>
        <v>0</v>
      </c>
      <c r="N113" s="110">
        <f t="shared" ref="N113:N118" si="31">M113+L113</f>
        <v>0</v>
      </c>
      <c r="O113" s="14"/>
      <c r="P113" s="9"/>
    </row>
    <row r="114" spans="1:16" ht="18" thickTop="1" thickBot="1">
      <c r="A114" s="29" t="str">
        <f>O117 &amp; "  " &amp; "I DZIEŃ"</f>
        <v>0  I DZIEŃ</v>
      </c>
      <c r="B114" s="61">
        <f>szkoły!D28</f>
        <v>0</v>
      </c>
      <c r="C114" s="105"/>
      <c r="D114" s="106">
        <f>IF(C114&gt;="",0,IF(C114&gt;12.75,0,IF(C114&lt;7.38,(200+(7.38-C114)*100),VLOOKUP(-C114,baza!$E$3:$F$202,2,1))))</f>
        <v>0</v>
      </c>
      <c r="E114" s="105"/>
      <c r="F114" s="106">
        <f>IF(E114&lt;8,0,IF(E114&gt;77,(200+(E114-77)*2),VLOOKUP(E114,baza!$H$3:$J$202,3,0)))</f>
        <v>0</v>
      </c>
      <c r="G114" s="107"/>
      <c r="H114" s="106">
        <f>IF(G114&lt;80,0,IF(G114&gt;179,200+(G114-179),VLOOKUP(G114,baza!$I:$J,2,0)))</f>
        <v>0</v>
      </c>
      <c r="I114" s="107"/>
      <c r="J114" s="106">
        <f>IF(I114&lt;210,0,IF(I114&gt;593,(200+(I114-593)*2),VLOOKUP(I114,baza!$B$3:$F$202,5,1)))</f>
        <v>0</v>
      </c>
      <c r="K114" s="108"/>
      <c r="L114" s="106">
        <f>IF(K114="",0,IF(K114&gt;(-1*baza!$D$3),0,IF(K114&lt;132.11,INT(200+(132.11-K114)*5),VLOOKUP(-K114,baza!$D$1:$F$203,3,1))))</f>
        <v>0</v>
      </c>
      <c r="M114" s="109">
        <f t="shared" si="30"/>
        <v>0</v>
      </c>
      <c r="N114" s="110">
        <f t="shared" si="31"/>
        <v>0</v>
      </c>
      <c r="O114" s="14"/>
      <c r="P114" s="9"/>
    </row>
    <row r="115" spans="1:16" ht="18" thickTop="1" thickBot="1">
      <c r="A115" s="29" t="str">
        <f>O118 &amp; "  " &amp; "II DZIEŃ"</f>
        <v>0  II DZIEŃ</v>
      </c>
      <c r="B115" s="61">
        <f>szkoły!D29</f>
        <v>0</v>
      </c>
      <c r="C115" s="105"/>
      <c r="D115" s="106">
        <f>IF(C115&gt;="",0,IF(C115&gt;12.75,0,IF(C115&lt;7.38,(200+(7.38-C115)*100),VLOOKUP(-C115,baza!$E$3:$F$202,2,1))))</f>
        <v>0</v>
      </c>
      <c r="E115" s="105"/>
      <c r="F115" s="106">
        <f>IF(E115&lt;8,0,IF(E115&gt;77,(200+(E115-77)*2),VLOOKUP(E115,baza!$H$3:$J$202,3,0)))</f>
        <v>0</v>
      </c>
      <c r="G115" s="107"/>
      <c r="H115" s="106">
        <f>IF(G115&lt;80,0,IF(G115&gt;179,200+(G115-179),VLOOKUP(G115,baza!$I:$J,2,0)))</f>
        <v>0</v>
      </c>
      <c r="I115" s="107"/>
      <c r="J115" s="106">
        <f>IF(I115&lt;210,0,IF(I115&gt;593,(200+(I115-593)*2),VLOOKUP(I115,baza!$B$3:$F$202,5,1)))</f>
        <v>0</v>
      </c>
      <c r="K115" s="108"/>
      <c r="L115" s="106">
        <f>IF(K115="",0,IF(K115&gt;(-1*baza!$D$3),0,IF(K115&lt;132.11,INT(200+(132.11-K115)*5),VLOOKUP(-K115,baza!$D$1:$F$203,3,1))))</f>
        <v>0</v>
      </c>
      <c r="M115" s="109">
        <f t="shared" si="30"/>
        <v>0</v>
      </c>
      <c r="N115" s="110">
        <f t="shared" si="31"/>
        <v>0</v>
      </c>
      <c r="O115" s="14"/>
      <c r="P115" s="9"/>
    </row>
    <row r="116" spans="1:16" ht="18" thickTop="1" thickBot="1">
      <c r="A116" s="10"/>
      <c r="B116" s="61">
        <f>szkoły!D30</f>
        <v>0</v>
      </c>
      <c r="C116" s="105"/>
      <c r="D116" s="106">
        <f>IF(C116&gt;="",0,IF(C116&gt;12.75,0,IF(C116&lt;7.38,(200+(7.38-C116)*100),VLOOKUP(-C116,baza!$E$3:$F$202,2,1))))</f>
        <v>0</v>
      </c>
      <c r="E116" s="105"/>
      <c r="F116" s="106">
        <f>IF(E116&lt;8,0,IF(E116&gt;77,(200+(E116-77)*2),VLOOKUP(E116,baza!$H$3:$J$202,3,0)))</f>
        <v>0</v>
      </c>
      <c r="G116" s="107"/>
      <c r="H116" s="106">
        <f>IF(G116&lt;80,0,IF(G116&gt;179,200+(G116-179),VLOOKUP(G116,baza!$I:$J,2,0)))</f>
        <v>0</v>
      </c>
      <c r="I116" s="107"/>
      <c r="J116" s="106">
        <f>IF(I116&lt;210,0,IF(I116&gt;593,(200+(I116-593)*2),VLOOKUP(I116,baza!$B$3:$F$202,5,1)))</f>
        <v>0</v>
      </c>
      <c r="K116" s="108"/>
      <c r="L116" s="106">
        <f>IF(K116="",0,IF(K116&gt;(-1*baza!$D$3),0,IF(K116&lt;132.11,INT(200+(132.11-K116)*5),VLOOKUP(-K116,baza!$D$1:$F$203,3,1))))</f>
        <v>0</v>
      </c>
      <c r="M116" s="109">
        <f t="shared" si="30"/>
        <v>0</v>
      </c>
      <c r="N116" s="110">
        <f t="shared" si="31"/>
        <v>0</v>
      </c>
      <c r="O116" s="14"/>
      <c r="P116" s="9"/>
    </row>
    <row r="117" spans="1:16" ht="18" thickTop="1" thickBot="1">
      <c r="A117" s="10"/>
      <c r="B117" s="61">
        <f>szkoły!D31</f>
        <v>0</v>
      </c>
      <c r="C117" s="105"/>
      <c r="D117" s="106">
        <f>IF(C117&gt;="",0,IF(C117&gt;12.75,0,IF(C117&lt;7.38,(200+(7.38-C117)*100),VLOOKUP(-C117,baza!$E$3:$F$202,2,1))))</f>
        <v>0</v>
      </c>
      <c r="E117" s="105"/>
      <c r="F117" s="106">
        <f>IF(E117&lt;8,0,IF(E117&gt;77,(200+(E117-77)*2),VLOOKUP(E117,baza!$H$3:$J$202,3,0)))</f>
        <v>0</v>
      </c>
      <c r="G117" s="107"/>
      <c r="H117" s="106">
        <f>IF(G117&lt;80,0,IF(G117&gt;179,200+(G117-179),VLOOKUP(G117,baza!$I:$J,2,0)))</f>
        <v>0</v>
      </c>
      <c r="I117" s="107"/>
      <c r="J117" s="106">
        <f>IF(I117&lt;210,0,IF(I117&gt;593,(200+(I117-593)*2),VLOOKUP(I117,baza!$B$3:$F$202,5,1)))</f>
        <v>0</v>
      </c>
      <c r="K117" s="108"/>
      <c r="L117" s="106">
        <f>IF(K117="",0,IF(K117&gt;(-1*baza!$D$3),0,IF(K117&lt;132.11,INT(200+(132.11-K117)*5),VLOOKUP(-K117,baza!$D$1:$F$203,3,1))))</f>
        <v>0</v>
      </c>
      <c r="M117" s="109">
        <f t="shared" si="30"/>
        <v>0</v>
      </c>
      <c r="N117" s="110">
        <f t="shared" si="31"/>
        <v>0</v>
      </c>
      <c r="O117" s="15">
        <f>SUM(M113:M118)</f>
        <v>0</v>
      </c>
      <c r="P117" s="8" t="s">
        <v>1716</v>
      </c>
    </row>
    <row r="118" spans="1:16" ht="18" thickTop="1" thickBot="1">
      <c r="A118" s="10"/>
      <c r="B118" s="61">
        <f>szkoły!D32</f>
        <v>0</v>
      </c>
      <c r="C118" s="105"/>
      <c r="D118" s="106">
        <f>IF(C118&gt;="",0,IF(C118&gt;12.75,0,IF(C118&lt;7.38,(200+(7.38-C118)*100),VLOOKUP(-C118,baza!$E$3:$F$202,2,1))))</f>
        <v>0</v>
      </c>
      <c r="E118" s="105"/>
      <c r="F118" s="106">
        <f>IF(E118&lt;8,0,IF(E118&gt;77,(200+(E118-77)*2),VLOOKUP(E118,baza!$H$3:$J$202,3,0)))</f>
        <v>0</v>
      </c>
      <c r="G118" s="107"/>
      <c r="H118" s="106">
        <f>IF(G118&lt;80,0,IF(G118&gt;179,200+(G118-179),VLOOKUP(G118,baza!$I:$J,2,0)))</f>
        <v>0</v>
      </c>
      <c r="I118" s="107"/>
      <c r="J118" s="106">
        <f>IF(I118&lt;210,0,IF(I118&gt;593,(200+(I118-593)*2),VLOOKUP(I118,baza!$B$3:$F$202,5,1)))</f>
        <v>0</v>
      </c>
      <c r="K118" s="108"/>
      <c r="L118" s="106">
        <f>IF(K118="",0,IF(K118&gt;(-1*baza!$D$3),0,IF(K118&lt;132.11,INT(200+(132.11-K118)*5),VLOOKUP(-K118,baza!$D$1:$F$203,3,1))))</f>
        <v>0</v>
      </c>
      <c r="M118" s="109">
        <f t="shared" si="30"/>
        <v>0</v>
      </c>
      <c r="N118" s="110">
        <f t="shared" si="31"/>
        <v>0</v>
      </c>
      <c r="O118" s="15">
        <f>IF(COUNT(N113:N118)&lt;6,SUM(N113:N118),SUM(N113:N118)-MIN(N113:N118))</f>
        <v>0</v>
      </c>
      <c r="P118" s="8" t="s">
        <v>1718</v>
      </c>
    </row>
    <row r="119" spans="1:16" ht="16.5" thickTop="1" thickBot="1">
      <c r="A119" s="13">
        <f>szkoły!A34</f>
        <v>0</v>
      </c>
      <c r="B119" s="60" t="s">
        <v>1713</v>
      </c>
      <c r="C119" s="21" t="s">
        <v>1710</v>
      </c>
      <c r="D119" s="21" t="s">
        <v>1714</v>
      </c>
      <c r="E119" s="24" t="s">
        <v>1715</v>
      </c>
      <c r="F119" s="21" t="s">
        <v>1714</v>
      </c>
      <c r="G119" s="23" t="s">
        <v>1712</v>
      </c>
      <c r="H119" s="21" t="s">
        <v>1714</v>
      </c>
      <c r="I119" s="23" t="s">
        <v>1708</v>
      </c>
      <c r="J119" s="21" t="s">
        <v>1714</v>
      </c>
      <c r="K119" s="25" t="s">
        <v>1724</v>
      </c>
      <c r="L119" s="21" t="s">
        <v>1714</v>
      </c>
      <c r="M119" s="22" t="s">
        <v>1716</v>
      </c>
      <c r="N119" s="22" t="s">
        <v>1717</v>
      </c>
      <c r="O119" s="14"/>
      <c r="P119" s="9"/>
    </row>
    <row r="120" spans="1:16" ht="18" thickTop="1" thickBot="1">
      <c r="A120" s="7"/>
      <c r="B120" s="61">
        <f>szkoły!A35</f>
        <v>0</v>
      </c>
      <c r="C120" s="105"/>
      <c r="D120" s="106">
        <f>IF(C120&gt;="",0,IF(C120&gt;12.75,0,IF(C120&lt;7.38,(200+(7.38-C120)*100),VLOOKUP(-C120,baza!$E$3:$F$202,2,1))))</f>
        <v>0</v>
      </c>
      <c r="E120" s="105"/>
      <c r="F120" s="106">
        <f>IF(E120&lt;8,0,IF(E120&gt;77,(200+(E120-77)*2),VLOOKUP(E120,baza!$H$3:$J$202,3,0)))</f>
        <v>0</v>
      </c>
      <c r="G120" s="107"/>
      <c r="H120" s="106">
        <f>IF(G120&lt;80,0,IF(G120&gt;179,200+(G120-179),VLOOKUP(G120,baza!$I:$J,2,0)))</f>
        <v>0</v>
      </c>
      <c r="I120" s="107"/>
      <c r="J120" s="106">
        <f>IF(I120&lt;210,0,IF(I120&gt;593,(200+(I120-593)*2),VLOOKUP(I120,baza!$B$3:$F$202,5,1)))</f>
        <v>0</v>
      </c>
      <c r="K120" s="108"/>
      <c r="L120" s="106">
        <f>IF(K120="",0,IF(K120&gt;(-1*baza!$D$3),0,IF(K120&lt;132.11,INT(200+(132.11-K120)*5),VLOOKUP(-K120,baza!$D$1:$F$203,3,1))))</f>
        <v>0</v>
      </c>
      <c r="M120" s="109">
        <f t="shared" ref="M120:M125" si="32">(D120+F120+H120+J120)</f>
        <v>0</v>
      </c>
      <c r="N120" s="110">
        <f t="shared" ref="N120:N125" si="33">M120+L120</f>
        <v>0</v>
      </c>
      <c r="O120" s="14"/>
      <c r="P120" s="9"/>
    </row>
    <row r="121" spans="1:16" ht="18" thickTop="1" thickBot="1">
      <c r="A121" s="29" t="str">
        <f>O124 &amp; "  " &amp; "I DZIEŃ"</f>
        <v>0  I DZIEŃ</v>
      </c>
      <c r="B121" s="61">
        <f>szkoły!A36</f>
        <v>0</v>
      </c>
      <c r="C121" s="105"/>
      <c r="D121" s="106">
        <f>IF(C121&gt;="",0,IF(C121&gt;12.75,0,IF(C121&lt;7.38,(200+(7.38-C121)*100),VLOOKUP(-C121,baza!$E$3:$F$202,2,1))))</f>
        <v>0</v>
      </c>
      <c r="E121" s="105"/>
      <c r="F121" s="106">
        <f>IF(E121&lt;8,0,IF(E121&gt;77,(200+(E121-77)*2),VLOOKUP(E121,baza!$H$3:$J$202,3,0)))</f>
        <v>0</v>
      </c>
      <c r="G121" s="107"/>
      <c r="H121" s="106">
        <f>IF(G121&lt;80,0,IF(G121&gt;179,200+(G121-179),VLOOKUP(G121,baza!$I:$J,2,0)))</f>
        <v>0</v>
      </c>
      <c r="I121" s="107"/>
      <c r="J121" s="106">
        <f>IF(I121&lt;210,0,IF(I121&gt;593,(200+(I121-593)*2),VLOOKUP(I121,baza!$B$3:$F$202,5,1)))</f>
        <v>0</v>
      </c>
      <c r="K121" s="108"/>
      <c r="L121" s="106">
        <f>IF(K121="",0,IF(K121&gt;(-1*baza!$D$3),0,IF(K121&lt;132.11,INT(200+(132.11-K121)*5),VLOOKUP(-K121,baza!$D$1:$F$203,3,1))))</f>
        <v>0</v>
      </c>
      <c r="M121" s="109">
        <f t="shared" si="32"/>
        <v>0</v>
      </c>
      <c r="N121" s="110">
        <f t="shared" si="33"/>
        <v>0</v>
      </c>
      <c r="O121" s="14"/>
      <c r="P121" s="9"/>
    </row>
    <row r="122" spans="1:16" ht="18" thickTop="1" thickBot="1">
      <c r="A122" s="29" t="str">
        <f>O125 &amp; "  " &amp; "II DZIEŃ"</f>
        <v>0  II DZIEŃ</v>
      </c>
      <c r="B122" s="61">
        <f>szkoły!A37</f>
        <v>0</v>
      </c>
      <c r="C122" s="105"/>
      <c r="D122" s="106">
        <f>IF(C122&gt;="",0,IF(C122&gt;12.75,0,IF(C122&lt;7.38,(200+(7.38-C122)*100),VLOOKUP(-C122,baza!$E$3:$F$202,2,1))))</f>
        <v>0</v>
      </c>
      <c r="E122" s="105"/>
      <c r="F122" s="106">
        <f>IF(E122&lt;8,0,IF(E122&gt;77,(200+(E122-77)*2),VLOOKUP(E122,baza!$H$3:$J$202,3,0)))</f>
        <v>0</v>
      </c>
      <c r="G122" s="107"/>
      <c r="H122" s="106">
        <f>IF(G122&lt;80,0,IF(G122&gt;179,200+(G122-179),VLOOKUP(G122,baza!$I:$J,2,0)))</f>
        <v>0</v>
      </c>
      <c r="I122" s="107"/>
      <c r="J122" s="106">
        <f>IF(I122&lt;210,0,IF(I122&gt;593,(200+(I122-593)*2),VLOOKUP(I122,baza!$B$3:$F$202,5,1)))</f>
        <v>0</v>
      </c>
      <c r="K122" s="108"/>
      <c r="L122" s="106">
        <f>IF(K122="",0,IF(K122&gt;(-1*baza!$D$3),0,IF(K122&lt;132.11,INT(200+(132.11-K122)*5),VLOOKUP(-K122,baza!$D$1:$F$203,3,1))))</f>
        <v>0</v>
      </c>
      <c r="M122" s="109">
        <f t="shared" si="32"/>
        <v>0</v>
      </c>
      <c r="N122" s="110">
        <f t="shared" si="33"/>
        <v>0</v>
      </c>
      <c r="O122" s="14"/>
      <c r="P122" s="9"/>
    </row>
    <row r="123" spans="1:16" ht="18" thickTop="1" thickBot="1">
      <c r="A123" s="7"/>
      <c r="B123" s="61">
        <f>szkoły!A38</f>
        <v>0</v>
      </c>
      <c r="C123" s="105"/>
      <c r="D123" s="106">
        <f>IF(C123&gt;="",0,IF(C123&gt;12.75,0,IF(C123&lt;7.38,(200+(7.38-C123)*100),VLOOKUP(-C123,baza!$E$3:$F$202,2,1))))</f>
        <v>0</v>
      </c>
      <c r="E123" s="105"/>
      <c r="F123" s="106">
        <f>IF(E123&lt;8,0,IF(E123&gt;77,(200+(E123-77)*2),VLOOKUP(E123,baza!$H$3:$J$202,3,0)))</f>
        <v>0</v>
      </c>
      <c r="G123" s="107"/>
      <c r="H123" s="106">
        <f>IF(G123&lt;80,0,IF(G123&gt;179,200+(G123-179),VLOOKUP(G123,baza!$I:$J,2,0)))</f>
        <v>0</v>
      </c>
      <c r="I123" s="107"/>
      <c r="J123" s="106">
        <f>IF(I123&lt;210,0,IF(I123&gt;593,(200+(I123-593)*2),VLOOKUP(I123,baza!$B$3:$F$202,5,1)))</f>
        <v>0</v>
      </c>
      <c r="K123" s="108"/>
      <c r="L123" s="106">
        <f>IF(K123="",0,IF(K123&gt;(-1*baza!$D$3),0,IF(K123&lt;132.11,INT(200+(132.11-K123)*5),VLOOKUP(-K123,baza!$D$1:$F$203,3,1))))</f>
        <v>0</v>
      </c>
      <c r="M123" s="109">
        <f t="shared" si="32"/>
        <v>0</v>
      </c>
      <c r="N123" s="110">
        <f t="shared" si="33"/>
        <v>0</v>
      </c>
      <c r="O123" s="14"/>
      <c r="P123" s="9"/>
    </row>
    <row r="124" spans="1:16" ht="18" thickTop="1" thickBot="1">
      <c r="A124" s="7"/>
      <c r="B124" s="61">
        <f>szkoły!A39</f>
        <v>0</v>
      </c>
      <c r="C124" s="105"/>
      <c r="D124" s="106">
        <f>IF(C124&gt;="",0,IF(C124&gt;12.75,0,IF(C124&lt;7.38,(200+(7.38-C124)*100),VLOOKUP(-C124,baza!$E$3:$F$202,2,1))))</f>
        <v>0</v>
      </c>
      <c r="E124" s="105"/>
      <c r="F124" s="106">
        <f>IF(E124&lt;8,0,IF(E124&gt;77,(200+(E124-77)*2),VLOOKUP(E124,baza!$H$3:$J$202,3,0)))</f>
        <v>0</v>
      </c>
      <c r="G124" s="107"/>
      <c r="H124" s="106">
        <f>IF(G124&lt;80,0,IF(G124&gt;179,200+(G124-179),VLOOKUP(G124,baza!$I:$J,2,0)))</f>
        <v>0</v>
      </c>
      <c r="I124" s="107"/>
      <c r="J124" s="106">
        <f>IF(I124&lt;210,0,IF(I124&gt;593,(200+(I124-593)*2),VLOOKUP(I124,baza!$B$3:$F$202,5,1)))</f>
        <v>0</v>
      </c>
      <c r="K124" s="108"/>
      <c r="L124" s="106">
        <f>IF(K124="",0,IF(K124&gt;(-1*baza!$D$3),0,IF(K124&lt;132.11,INT(200+(132.11-K124)*5),VLOOKUP(-K124,baza!$D$1:$F$203,3,1))))</f>
        <v>0</v>
      </c>
      <c r="M124" s="109">
        <f t="shared" si="32"/>
        <v>0</v>
      </c>
      <c r="N124" s="110">
        <f t="shared" si="33"/>
        <v>0</v>
      </c>
      <c r="O124" s="15">
        <f>SUM(M120:M125)</f>
        <v>0</v>
      </c>
      <c r="P124" s="8" t="s">
        <v>1716</v>
      </c>
    </row>
    <row r="125" spans="1:16" ht="18" thickTop="1" thickBot="1">
      <c r="A125" s="7"/>
      <c r="B125" s="61">
        <f>szkoły!A40</f>
        <v>0</v>
      </c>
      <c r="C125" s="105"/>
      <c r="D125" s="106">
        <f>IF(C125&gt;="",0,IF(C125&gt;12.75,0,IF(C125&lt;7.38,(200+(7.38-C125)*100),VLOOKUP(-C125,baza!$E$3:$F$202,2,1))))</f>
        <v>0</v>
      </c>
      <c r="E125" s="105"/>
      <c r="F125" s="106">
        <f>IF(E125&lt;8,0,IF(E125&gt;77,(200+(E125-77)*2),VLOOKUP(E125,baza!$H$3:$J$202,3,0)))</f>
        <v>0</v>
      </c>
      <c r="G125" s="107"/>
      <c r="H125" s="106">
        <f>IF(G125&lt;80,0,IF(G125&gt;179,200+(G125-179),VLOOKUP(G125,baza!$I:$J,2,0)))</f>
        <v>0</v>
      </c>
      <c r="I125" s="107"/>
      <c r="J125" s="106">
        <f>IF(I125&lt;210,0,IF(I125&gt;593,(200+(I125-593)*2),VLOOKUP(I125,baza!$B$3:$F$202,5,1)))</f>
        <v>0</v>
      </c>
      <c r="K125" s="108"/>
      <c r="L125" s="106">
        <f>IF(K125="",0,IF(K125&gt;(-1*baza!$D$3),0,IF(K125&lt;132.11,INT(200+(132.11-K125)*5),VLOOKUP(-K125,baza!$D$1:$F$203,3,1))))</f>
        <v>0</v>
      </c>
      <c r="M125" s="109">
        <f t="shared" si="32"/>
        <v>0</v>
      </c>
      <c r="N125" s="110">
        <f t="shared" si="33"/>
        <v>0</v>
      </c>
      <c r="O125" s="15">
        <f>IF(COUNT(N120:N125)&lt;6,SUM(N120:N125),SUM(N120:N125)-MIN(N120:N125))</f>
        <v>0</v>
      </c>
      <c r="P125" s="8" t="s">
        <v>1718</v>
      </c>
    </row>
    <row r="126" spans="1:16" ht="16.5" thickTop="1" thickBot="1">
      <c r="A126" s="13">
        <f>szkoły!B34</f>
        <v>0</v>
      </c>
      <c r="B126" s="60" t="s">
        <v>1713</v>
      </c>
      <c r="C126" s="21" t="s">
        <v>1710</v>
      </c>
      <c r="D126" s="21" t="s">
        <v>1714</v>
      </c>
      <c r="E126" s="24" t="s">
        <v>1715</v>
      </c>
      <c r="F126" s="21" t="s">
        <v>1714</v>
      </c>
      <c r="G126" s="23" t="s">
        <v>1712</v>
      </c>
      <c r="H126" s="21" t="s">
        <v>1714</v>
      </c>
      <c r="I126" s="23" t="s">
        <v>1708</v>
      </c>
      <c r="J126" s="21" t="s">
        <v>1714</v>
      </c>
      <c r="K126" s="25" t="s">
        <v>1724</v>
      </c>
      <c r="L126" s="21" t="s">
        <v>1714</v>
      </c>
      <c r="M126" s="22" t="s">
        <v>1716</v>
      </c>
      <c r="N126" s="22" t="s">
        <v>1717</v>
      </c>
      <c r="O126" s="14"/>
      <c r="P126" s="9"/>
    </row>
    <row r="127" spans="1:16" ht="18" thickTop="1" thickBot="1">
      <c r="A127" s="10"/>
      <c r="B127" s="61">
        <f>szkoły!B35</f>
        <v>0</v>
      </c>
      <c r="C127" s="105"/>
      <c r="D127" s="106">
        <f>IF(C127&gt;="",0,IF(C127&gt;12.75,0,IF(C127&lt;7.38,(200+(7.38-C127)*100),VLOOKUP(-C127,baza!$E$3:$F$202,2,1))))</f>
        <v>0</v>
      </c>
      <c r="E127" s="105"/>
      <c r="F127" s="106">
        <f>IF(E127&lt;8,0,IF(E127&gt;77,(200+(E127-77)*2),VLOOKUP(E127,baza!$H$3:$J$202,3,0)))</f>
        <v>0</v>
      </c>
      <c r="G127" s="107"/>
      <c r="H127" s="106">
        <f>IF(G127&lt;80,0,IF(G127&gt;179,200+(G127-179),VLOOKUP(G127,baza!$I:$J,2,0)))</f>
        <v>0</v>
      </c>
      <c r="I127" s="107"/>
      <c r="J127" s="106">
        <f>IF(I127&lt;210,0,IF(I127&gt;593,(200+(I127-593)*2),VLOOKUP(I127,baza!$B$3:$F$202,5,1)))</f>
        <v>0</v>
      </c>
      <c r="K127" s="108"/>
      <c r="L127" s="106">
        <f>IF(K127="",0,IF(K127&gt;(-1*baza!$D$3),0,IF(K127&lt;132.11,INT(200+(132.11-K127)*5),VLOOKUP(-K127,baza!$D$1:$F$203,3,1))))</f>
        <v>0</v>
      </c>
      <c r="M127" s="109">
        <f t="shared" ref="M127:M132" si="34">(D127+F127+H127+J127)</f>
        <v>0</v>
      </c>
      <c r="N127" s="110">
        <f t="shared" ref="N127:N132" si="35">M127+L127</f>
        <v>0</v>
      </c>
      <c r="O127" s="14"/>
      <c r="P127" s="9"/>
    </row>
    <row r="128" spans="1:16" ht="18" thickTop="1" thickBot="1">
      <c r="A128" s="29" t="str">
        <f>O131 &amp; "  " &amp; "I DZIEŃ"</f>
        <v>0  I DZIEŃ</v>
      </c>
      <c r="B128" s="61">
        <f>szkoły!B36</f>
        <v>0</v>
      </c>
      <c r="C128" s="105"/>
      <c r="D128" s="106">
        <f>IF(C128&gt;="",0,IF(C128&gt;12.75,0,IF(C128&lt;7.38,(200+(7.38-C128)*100),VLOOKUP(-C128,baza!$E$3:$F$202,2,1))))</f>
        <v>0</v>
      </c>
      <c r="E128" s="105"/>
      <c r="F128" s="106">
        <f>IF(E128&lt;8,0,IF(E128&gt;77,(200+(E128-77)*2),VLOOKUP(E128,baza!$H$3:$J$202,3,0)))</f>
        <v>0</v>
      </c>
      <c r="G128" s="107"/>
      <c r="H128" s="106">
        <f>IF(G128&lt;80,0,IF(G128&gt;179,200+(G128-179),VLOOKUP(G128,baza!$I:$J,2,0)))</f>
        <v>0</v>
      </c>
      <c r="I128" s="107"/>
      <c r="J128" s="106">
        <f>IF(I128&lt;210,0,IF(I128&gt;593,(200+(I128-593)*2),VLOOKUP(I128,baza!$B$3:$F$202,5,1)))</f>
        <v>0</v>
      </c>
      <c r="K128" s="108"/>
      <c r="L128" s="106">
        <f>IF(K128="",0,IF(K128&gt;(-1*baza!$D$3),0,IF(K128&lt;132.11,INT(200+(132.11-K128)*5),VLOOKUP(-K128,baza!$D$1:$F$203,3,1))))</f>
        <v>0</v>
      </c>
      <c r="M128" s="109">
        <f t="shared" si="34"/>
        <v>0</v>
      </c>
      <c r="N128" s="110">
        <f t="shared" si="35"/>
        <v>0</v>
      </c>
      <c r="O128" s="14"/>
      <c r="P128" s="9"/>
    </row>
    <row r="129" spans="1:16" ht="18" thickTop="1" thickBot="1">
      <c r="A129" s="29" t="str">
        <f>O132 &amp; "  " &amp; "II DZIEŃ"</f>
        <v>0  II DZIEŃ</v>
      </c>
      <c r="B129" s="61">
        <f>szkoły!B37</f>
        <v>0</v>
      </c>
      <c r="C129" s="105"/>
      <c r="D129" s="106">
        <f>IF(C129&gt;="",0,IF(C129&gt;12.75,0,IF(C129&lt;7.38,(200+(7.38-C129)*100),VLOOKUP(-C129,baza!$E$3:$F$202,2,1))))</f>
        <v>0</v>
      </c>
      <c r="E129" s="105"/>
      <c r="F129" s="106">
        <f>IF(E129&lt;8,0,IF(E129&gt;77,(200+(E129-77)*2),VLOOKUP(E129,baza!$H$3:$J$202,3,0)))</f>
        <v>0</v>
      </c>
      <c r="G129" s="107"/>
      <c r="H129" s="106">
        <f>IF(G129&lt;80,0,IF(G129&gt;179,200+(G129-179),VLOOKUP(G129,baza!$I:$J,2,0)))</f>
        <v>0</v>
      </c>
      <c r="I129" s="107"/>
      <c r="J129" s="106">
        <f>IF(I129&lt;210,0,IF(I129&gt;593,(200+(I129-593)*2),VLOOKUP(I129,baza!$B$3:$F$202,5,1)))</f>
        <v>0</v>
      </c>
      <c r="K129" s="108"/>
      <c r="L129" s="106">
        <f>IF(K129="",0,IF(K129&gt;(-1*baza!$D$3),0,IF(K129&lt;132.11,INT(200+(132.11-K129)*5),VLOOKUP(-K129,baza!$D$1:$F$203,3,1))))</f>
        <v>0</v>
      </c>
      <c r="M129" s="109">
        <f t="shared" si="34"/>
        <v>0</v>
      </c>
      <c r="N129" s="110">
        <f t="shared" si="35"/>
        <v>0</v>
      </c>
      <c r="O129" s="14"/>
      <c r="P129" s="9"/>
    </row>
    <row r="130" spans="1:16" ht="18" thickTop="1" thickBot="1">
      <c r="A130" s="10"/>
      <c r="B130" s="61">
        <f>szkoły!B38</f>
        <v>0</v>
      </c>
      <c r="C130" s="105"/>
      <c r="D130" s="106">
        <f>IF(C130&gt;="",0,IF(C130&gt;12.75,0,IF(C130&lt;7.38,(200+(7.38-C130)*100),VLOOKUP(-C130,baza!$E$3:$F$202,2,1))))</f>
        <v>0</v>
      </c>
      <c r="E130" s="105"/>
      <c r="F130" s="106">
        <f>IF(E130&lt;8,0,IF(E130&gt;77,(200+(E130-77)*2),VLOOKUP(E130,baza!$H$3:$J$202,3,0)))</f>
        <v>0</v>
      </c>
      <c r="G130" s="107"/>
      <c r="H130" s="106">
        <f>IF(G130&lt;80,0,IF(G130&gt;179,200+(G130-179),VLOOKUP(G130,baza!$I:$J,2,0)))</f>
        <v>0</v>
      </c>
      <c r="I130" s="107"/>
      <c r="J130" s="106">
        <f>IF(I130&lt;210,0,IF(I130&gt;593,(200+(I130-593)*2),VLOOKUP(I130,baza!$B$3:$F$202,5,1)))</f>
        <v>0</v>
      </c>
      <c r="K130" s="108"/>
      <c r="L130" s="106">
        <f>IF(K130="",0,IF(K130&gt;(-1*baza!$D$3),0,IF(K130&lt;132.11,INT(200+(132.11-K130)*5),VLOOKUP(-K130,baza!$D$1:$F$203,3,1))))</f>
        <v>0</v>
      </c>
      <c r="M130" s="109">
        <f t="shared" si="34"/>
        <v>0</v>
      </c>
      <c r="N130" s="110">
        <f t="shared" si="35"/>
        <v>0</v>
      </c>
      <c r="O130" s="14"/>
      <c r="P130" s="9"/>
    </row>
    <row r="131" spans="1:16" ht="18" thickTop="1" thickBot="1">
      <c r="A131" s="10"/>
      <c r="B131" s="61">
        <f>szkoły!B39</f>
        <v>0</v>
      </c>
      <c r="C131" s="105"/>
      <c r="D131" s="106">
        <f>IF(C131&gt;="",0,IF(C131&gt;12.75,0,IF(C131&lt;7.38,(200+(7.38-C131)*100),VLOOKUP(-C131,baza!$E$3:$F$202,2,1))))</f>
        <v>0</v>
      </c>
      <c r="E131" s="105"/>
      <c r="F131" s="106">
        <f>IF(E131&lt;8,0,IF(E131&gt;77,(200+(E131-77)*2),VLOOKUP(E131,baza!$H$3:$J$202,3,0)))</f>
        <v>0</v>
      </c>
      <c r="G131" s="107"/>
      <c r="H131" s="106">
        <f>IF(G131&lt;80,0,IF(G131&gt;179,200+(G131-179),VLOOKUP(G131,baza!$I:$J,2,0)))</f>
        <v>0</v>
      </c>
      <c r="I131" s="107"/>
      <c r="J131" s="106">
        <f>IF(I131&lt;210,0,IF(I131&gt;593,(200+(I131-593)*2),VLOOKUP(I131,baza!$B$3:$F$202,5,1)))</f>
        <v>0</v>
      </c>
      <c r="K131" s="108"/>
      <c r="L131" s="106">
        <f>IF(K131="",0,IF(K131&gt;(-1*baza!$D$3),0,IF(K131&lt;132.11,INT(200+(132.11-K131)*5),VLOOKUP(-K131,baza!$D$1:$F$203,3,1))))</f>
        <v>0</v>
      </c>
      <c r="M131" s="109">
        <f t="shared" si="34"/>
        <v>0</v>
      </c>
      <c r="N131" s="110">
        <f t="shared" si="35"/>
        <v>0</v>
      </c>
      <c r="O131" s="15">
        <f>SUM(M127:M132)</f>
        <v>0</v>
      </c>
      <c r="P131" s="8" t="s">
        <v>1716</v>
      </c>
    </row>
    <row r="132" spans="1:16" ht="18" thickTop="1" thickBot="1">
      <c r="A132" s="10"/>
      <c r="B132" s="61">
        <f>szkoły!B40</f>
        <v>0</v>
      </c>
      <c r="C132" s="105"/>
      <c r="D132" s="106">
        <f>IF(C132&gt;="",0,IF(C132&gt;12.75,0,IF(C132&lt;7.38,(200+(7.38-C132)*100),VLOOKUP(-C132,baza!$E$3:$F$202,2,1))))</f>
        <v>0</v>
      </c>
      <c r="E132" s="105"/>
      <c r="F132" s="106">
        <f>IF(E132&lt;8,0,IF(E132&gt;77,(200+(E132-77)*2),VLOOKUP(E132,baza!$H$3:$J$202,3,0)))</f>
        <v>0</v>
      </c>
      <c r="G132" s="107"/>
      <c r="H132" s="106">
        <f>IF(G132&lt;80,0,IF(G132&gt;179,200+(G132-179),VLOOKUP(G132,baza!$I:$J,2,0)))</f>
        <v>0</v>
      </c>
      <c r="I132" s="107"/>
      <c r="J132" s="106">
        <f>IF(I132&lt;210,0,IF(I132&gt;593,(200+(I132-593)*2),VLOOKUP(I132,baza!$B$3:$F$202,5,1)))</f>
        <v>0</v>
      </c>
      <c r="K132" s="108"/>
      <c r="L132" s="106">
        <f>IF(K132="",0,IF(K132&gt;(-1*baza!$D$3),0,IF(K132&lt;132.11,INT(200+(132.11-K132)*5),VLOOKUP(-K132,baza!$D$1:$F$203,3,1))))</f>
        <v>0</v>
      </c>
      <c r="M132" s="109">
        <f t="shared" si="34"/>
        <v>0</v>
      </c>
      <c r="N132" s="110">
        <f t="shared" si="35"/>
        <v>0</v>
      </c>
      <c r="O132" s="15">
        <f>IF(COUNT(N127:N132)&lt;6,SUM(N127:N132),SUM(N127:N132)-MIN(N127:N132))</f>
        <v>0</v>
      </c>
      <c r="P132" s="8" t="s">
        <v>1718</v>
      </c>
    </row>
    <row r="133" spans="1:16" ht="16.5" thickTop="1" thickBot="1">
      <c r="A133" s="13">
        <f>szkoły!C34</f>
        <v>0</v>
      </c>
      <c r="B133" s="60" t="s">
        <v>1713</v>
      </c>
      <c r="C133" s="21" t="s">
        <v>1710</v>
      </c>
      <c r="D133" s="21" t="s">
        <v>1714</v>
      </c>
      <c r="E133" s="24" t="s">
        <v>1715</v>
      </c>
      <c r="F133" s="21" t="s">
        <v>1714</v>
      </c>
      <c r="G133" s="23" t="s">
        <v>1712</v>
      </c>
      <c r="H133" s="21" t="s">
        <v>1714</v>
      </c>
      <c r="I133" s="23" t="s">
        <v>1708</v>
      </c>
      <c r="J133" s="21" t="s">
        <v>1714</v>
      </c>
      <c r="K133" s="25" t="s">
        <v>1724</v>
      </c>
      <c r="L133" s="21" t="s">
        <v>1714</v>
      </c>
      <c r="M133" s="22" t="s">
        <v>1716</v>
      </c>
      <c r="N133" s="22" t="s">
        <v>1717</v>
      </c>
      <c r="O133" s="14"/>
      <c r="P133" s="9"/>
    </row>
    <row r="134" spans="1:16" ht="18" thickTop="1" thickBot="1">
      <c r="A134" s="7"/>
      <c r="B134" s="61">
        <f>szkoły!C35</f>
        <v>0</v>
      </c>
      <c r="C134" s="105"/>
      <c r="D134" s="106">
        <f>IF(C134&gt;="",0,IF(C134&gt;12.75,0,IF(C134&lt;7.38,(200+(7.38-C134)*100),VLOOKUP(-C134,baza!$E$3:$F$202,2,1))))</f>
        <v>0</v>
      </c>
      <c r="E134" s="105"/>
      <c r="F134" s="106">
        <f>IF(E134&lt;8,0,IF(E134&gt;77,(200+(E134-77)*2),VLOOKUP(E134,baza!$H$3:$J$202,3,0)))</f>
        <v>0</v>
      </c>
      <c r="G134" s="107"/>
      <c r="H134" s="106">
        <f>IF(G134&lt;80,0,IF(G134&gt;179,200+(G134-179),VLOOKUP(G134,baza!$I:$J,2,0)))</f>
        <v>0</v>
      </c>
      <c r="I134" s="107"/>
      <c r="J134" s="106">
        <f>IF(I134&lt;210,0,IF(I134&gt;593,(200+(I134-593)*2),VLOOKUP(I134,baza!$B$3:$F$202,5,1)))</f>
        <v>0</v>
      </c>
      <c r="K134" s="108"/>
      <c r="L134" s="106">
        <f>IF(K134="",0,IF(K134&gt;(-1*baza!$D$3),0,IF(K134&lt;132.11,INT(200+(132.11-K134)*5),VLOOKUP(-K134,baza!$D$1:$F$203,3,1))))</f>
        <v>0</v>
      </c>
      <c r="M134" s="109">
        <f t="shared" ref="M134:M139" si="36">(D134+F134+H134+J134)</f>
        <v>0</v>
      </c>
      <c r="N134" s="110">
        <f t="shared" ref="N134:N139" si="37">M134+L134</f>
        <v>0</v>
      </c>
      <c r="O134" s="14"/>
      <c r="P134" s="9"/>
    </row>
    <row r="135" spans="1:16" ht="18" thickTop="1" thickBot="1">
      <c r="A135" s="29" t="str">
        <f>O138 &amp; "  " &amp; "I DZIEŃ"</f>
        <v>0  I DZIEŃ</v>
      </c>
      <c r="B135" s="61">
        <f>szkoły!C36</f>
        <v>0</v>
      </c>
      <c r="C135" s="105"/>
      <c r="D135" s="106">
        <f>IF(C135&gt;="",0,IF(C135&gt;12.75,0,IF(C135&lt;7.38,(200+(7.38-C135)*100),VLOOKUP(-C135,baza!$E$3:$F$202,2,1))))</f>
        <v>0</v>
      </c>
      <c r="E135" s="105"/>
      <c r="F135" s="106">
        <f>IF(E135&lt;8,0,IF(E135&gt;77,(200+(E135-77)*2),VLOOKUP(E135,baza!$H$3:$J$202,3,0)))</f>
        <v>0</v>
      </c>
      <c r="G135" s="107"/>
      <c r="H135" s="106">
        <f>IF(G135&lt;80,0,IF(G135&gt;179,200+(G135-179),VLOOKUP(G135,baza!$I:$J,2,0)))</f>
        <v>0</v>
      </c>
      <c r="I135" s="107"/>
      <c r="J135" s="106">
        <f>IF(I135&lt;210,0,IF(I135&gt;593,(200+(I135-593)*2),VLOOKUP(I135,baza!$B$3:$F$202,5,1)))</f>
        <v>0</v>
      </c>
      <c r="K135" s="108"/>
      <c r="L135" s="106">
        <f>IF(K135="",0,IF(K135&gt;(-1*baza!$D$3),0,IF(K135&lt;132.11,INT(200+(132.11-K135)*5),VLOOKUP(-K135,baza!$D$1:$F$203,3,1))))</f>
        <v>0</v>
      </c>
      <c r="M135" s="109">
        <f t="shared" si="36"/>
        <v>0</v>
      </c>
      <c r="N135" s="110">
        <f t="shared" si="37"/>
        <v>0</v>
      </c>
      <c r="O135" s="14"/>
      <c r="P135" s="9"/>
    </row>
    <row r="136" spans="1:16" ht="18" thickTop="1" thickBot="1">
      <c r="A136" s="29" t="str">
        <f>O139 &amp; "  " &amp; "II DZIEŃ"</f>
        <v>0  II DZIEŃ</v>
      </c>
      <c r="B136" s="61">
        <f>szkoły!C37</f>
        <v>0</v>
      </c>
      <c r="C136" s="105"/>
      <c r="D136" s="106">
        <f>IF(C136&gt;="",0,IF(C136&gt;12.75,0,IF(C136&lt;7.38,(200+(7.38-C136)*100),VLOOKUP(-C136,baza!$E$3:$F$202,2,1))))</f>
        <v>0</v>
      </c>
      <c r="E136" s="105"/>
      <c r="F136" s="106">
        <f>IF(E136&lt;8,0,IF(E136&gt;77,(200+(E136-77)*2),VLOOKUP(E136,baza!$H$3:$J$202,3,0)))</f>
        <v>0</v>
      </c>
      <c r="G136" s="107"/>
      <c r="H136" s="106">
        <f>IF(G136&lt;80,0,IF(G136&gt;179,200+(G136-179),VLOOKUP(G136,baza!$I:$J,2,0)))</f>
        <v>0</v>
      </c>
      <c r="I136" s="107"/>
      <c r="J136" s="106">
        <f>IF(I136&lt;210,0,IF(I136&gt;593,(200+(I136-593)*2),VLOOKUP(I136,baza!$B$3:$F$202,5,1)))</f>
        <v>0</v>
      </c>
      <c r="K136" s="108"/>
      <c r="L136" s="106">
        <f>IF(K136="",0,IF(K136&gt;(-1*baza!$D$3),0,IF(K136&lt;132.11,INT(200+(132.11-K136)*5),VLOOKUP(-K136,baza!$D$1:$F$203,3,1))))</f>
        <v>0</v>
      </c>
      <c r="M136" s="109">
        <f t="shared" si="36"/>
        <v>0</v>
      </c>
      <c r="N136" s="110">
        <f t="shared" si="37"/>
        <v>0</v>
      </c>
      <c r="O136" s="14"/>
      <c r="P136" s="9"/>
    </row>
    <row r="137" spans="1:16" ht="18" thickTop="1" thickBot="1">
      <c r="A137" s="7"/>
      <c r="B137" s="61">
        <f>szkoły!C38</f>
        <v>0</v>
      </c>
      <c r="C137" s="105"/>
      <c r="D137" s="106">
        <f>IF(C137&gt;="",0,IF(C137&gt;12.75,0,IF(C137&lt;7.38,(200+(7.38-C137)*100),VLOOKUP(-C137,baza!$E$3:$F$202,2,1))))</f>
        <v>0</v>
      </c>
      <c r="E137" s="105"/>
      <c r="F137" s="106">
        <f>IF(E137&lt;8,0,IF(E137&gt;77,(200+(E137-77)*2),VLOOKUP(E137,baza!$H$3:$J$202,3,0)))</f>
        <v>0</v>
      </c>
      <c r="G137" s="107"/>
      <c r="H137" s="106">
        <f>IF(G137&lt;80,0,IF(G137&gt;179,200+(G137-179),VLOOKUP(G137,baza!$I:$J,2,0)))</f>
        <v>0</v>
      </c>
      <c r="I137" s="107"/>
      <c r="J137" s="106">
        <f>IF(I137&lt;210,0,IF(I137&gt;593,(200+(I137-593)*2),VLOOKUP(I137,baza!$B$3:$F$202,5,1)))</f>
        <v>0</v>
      </c>
      <c r="K137" s="108"/>
      <c r="L137" s="106">
        <f>IF(K137="",0,IF(K137&gt;(-1*baza!$D$3),0,IF(K137&lt;132.11,INT(200+(132.11-K137)*5),VLOOKUP(-K137,baza!$D$1:$F$203,3,1))))</f>
        <v>0</v>
      </c>
      <c r="M137" s="109">
        <f t="shared" si="36"/>
        <v>0</v>
      </c>
      <c r="N137" s="110">
        <f t="shared" si="37"/>
        <v>0</v>
      </c>
      <c r="O137" s="14"/>
      <c r="P137" s="9"/>
    </row>
    <row r="138" spans="1:16" ht="18" thickTop="1" thickBot="1">
      <c r="A138" s="7"/>
      <c r="B138" s="61">
        <f>szkoły!C39</f>
        <v>0</v>
      </c>
      <c r="C138" s="105"/>
      <c r="D138" s="106">
        <f>IF(C138&gt;="",0,IF(C138&gt;12.75,0,IF(C138&lt;7.38,(200+(7.38-C138)*100),VLOOKUP(-C138,baza!$E$3:$F$202,2,1))))</f>
        <v>0</v>
      </c>
      <c r="E138" s="105"/>
      <c r="F138" s="106">
        <f>IF(E138&lt;8,0,IF(E138&gt;77,(200+(E138-77)*2),VLOOKUP(E138,baza!$H$3:$J$202,3,0)))</f>
        <v>0</v>
      </c>
      <c r="G138" s="107"/>
      <c r="H138" s="106">
        <f>IF(G138&lt;80,0,IF(G138&gt;179,200+(G138-179),VLOOKUP(G138,baza!$I:$J,2,0)))</f>
        <v>0</v>
      </c>
      <c r="I138" s="107"/>
      <c r="J138" s="106">
        <f>IF(I138&lt;210,0,IF(I138&gt;593,(200+(I138-593)*2),VLOOKUP(I138,baza!$B$3:$F$202,5,1)))</f>
        <v>0</v>
      </c>
      <c r="K138" s="108"/>
      <c r="L138" s="106">
        <f>IF(K138="",0,IF(K138&gt;(-1*baza!$D$3),0,IF(K138&lt;132.11,INT(200+(132.11-K138)*5),VLOOKUP(-K138,baza!$D$1:$F$203,3,1))))</f>
        <v>0</v>
      </c>
      <c r="M138" s="109">
        <f t="shared" si="36"/>
        <v>0</v>
      </c>
      <c r="N138" s="110">
        <f t="shared" si="37"/>
        <v>0</v>
      </c>
      <c r="O138" s="15">
        <f>SUM(M134:M139)</f>
        <v>0</v>
      </c>
      <c r="P138" s="8" t="s">
        <v>1716</v>
      </c>
    </row>
    <row r="139" spans="1:16" ht="18" thickTop="1" thickBot="1">
      <c r="A139" s="7"/>
      <c r="B139" s="61">
        <f>szkoły!C40</f>
        <v>0</v>
      </c>
      <c r="C139" s="105"/>
      <c r="D139" s="106">
        <f>IF(C139&gt;="",0,IF(C139&gt;12.75,0,IF(C139&lt;7.38,(200+(7.38-C139)*100),VLOOKUP(-C139,baza!$E$3:$F$202,2,1))))</f>
        <v>0</v>
      </c>
      <c r="E139" s="105"/>
      <c r="F139" s="106">
        <f>IF(E139&lt;8,0,IF(E139&gt;77,(200+(E139-77)*2),VLOOKUP(E139,baza!$H$3:$J$202,3,0)))</f>
        <v>0</v>
      </c>
      <c r="G139" s="107"/>
      <c r="H139" s="106">
        <f>IF(G139&lt;80,0,IF(G139&gt;179,200+(G139-179),VLOOKUP(G139,baza!$I:$J,2,0)))</f>
        <v>0</v>
      </c>
      <c r="I139" s="107"/>
      <c r="J139" s="106">
        <f>IF(I139&lt;210,0,IF(I139&gt;593,(200+(I139-593)*2),VLOOKUP(I139,baza!$B$3:$F$202,5,1)))</f>
        <v>0</v>
      </c>
      <c r="K139" s="108"/>
      <c r="L139" s="106">
        <f>IF(K139="",0,IF(K139&gt;(-1*baza!$D$3),0,IF(K139&lt;132.11,INT(200+(132.11-K139)*5),VLOOKUP(-K139,baza!$D$1:$F$203,3,1))))</f>
        <v>0</v>
      </c>
      <c r="M139" s="109">
        <f t="shared" si="36"/>
        <v>0</v>
      </c>
      <c r="N139" s="110">
        <f t="shared" si="37"/>
        <v>0</v>
      </c>
      <c r="O139" s="15">
        <f>IF(COUNT(N134:N139)&lt;6,SUM(N134:N139),SUM(N134:N139)-MIN(N134:N139))</f>
        <v>0</v>
      </c>
      <c r="P139" s="8" t="s">
        <v>1718</v>
      </c>
    </row>
    <row r="140" spans="1:16" ht="16.5" thickTop="1" thickBot="1">
      <c r="A140" s="13">
        <f>szkoły!D34</f>
        <v>0</v>
      </c>
      <c r="B140" s="60" t="s">
        <v>1713</v>
      </c>
      <c r="C140" s="21" t="s">
        <v>1710</v>
      </c>
      <c r="D140" s="21" t="s">
        <v>1714</v>
      </c>
      <c r="E140" s="24" t="s">
        <v>1715</v>
      </c>
      <c r="F140" s="21" t="s">
        <v>1714</v>
      </c>
      <c r="G140" s="23" t="s">
        <v>1712</v>
      </c>
      <c r="H140" s="21" t="s">
        <v>1714</v>
      </c>
      <c r="I140" s="23" t="s">
        <v>1708</v>
      </c>
      <c r="J140" s="21" t="s">
        <v>1714</v>
      </c>
      <c r="K140" s="25" t="s">
        <v>1724</v>
      </c>
      <c r="L140" s="21" t="s">
        <v>1714</v>
      </c>
      <c r="M140" s="22" t="s">
        <v>1716</v>
      </c>
      <c r="N140" s="22" t="s">
        <v>1717</v>
      </c>
      <c r="O140" s="14"/>
      <c r="P140" s="9"/>
    </row>
    <row r="141" spans="1:16" ht="18" thickTop="1" thickBot="1">
      <c r="A141" s="10"/>
      <c r="B141" s="61">
        <f>szkoły!D35</f>
        <v>0</v>
      </c>
      <c r="C141" s="105"/>
      <c r="D141" s="106">
        <f>IF(C141&gt;="",0,IF(C141&gt;12.75,0,IF(C141&lt;7.38,(200+(7.38-C141)*100),VLOOKUP(-C141,baza!$E$3:$F$202,2,1))))</f>
        <v>0</v>
      </c>
      <c r="E141" s="105"/>
      <c r="F141" s="106">
        <f>IF(E141&lt;8,0,IF(E141&gt;77,(200+(E141-77)*2),VLOOKUP(E141,baza!$H$3:$J$202,3,0)))</f>
        <v>0</v>
      </c>
      <c r="G141" s="107"/>
      <c r="H141" s="106">
        <f>IF(G141&lt;80,0,IF(G141&gt;179,200+(G141-179),VLOOKUP(G141,baza!$I:$J,2,0)))</f>
        <v>0</v>
      </c>
      <c r="I141" s="107"/>
      <c r="J141" s="106">
        <f>IF(I141&lt;210,0,IF(I141&gt;593,(200+(I141-593)*2),VLOOKUP(I141,baza!$B$3:$F$202,5,1)))</f>
        <v>0</v>
      </c>
      <c r="K141" s="108"/>
      <c r="L141" s="106">
        <f>IF(K141="",0,IF(K141&gt;(-1*baza!$D$3),0,IF(K141&lt;132.11,INT(200+(132.11-K141)*5),VLOOKUP(-K141,baza!$D$1:$F$203,3,1))))</f>
        <v>0</v>
      </c>
      <c r="M141" s="109">
        <f t="shared" ref="M141:M146" si="38">(D141+F141+H141+J141)</f>
        <v>0</v>
      </c>
      <c r="N141" s="110">
        <f t="shared" ref="N141:N146" si="39">M141+L141</f>
        <v>0</v>
      </c>
      <c r="O141" s="14"/>
      <c r="P141" s="9"/>
    </row>
    <row r="142" spans="1:16" ht="18" thickTop="1" thickBot="1">
      <c r="A142" s="29" t="str">
        <f>O145 &amp; "  " &amp; "I DZIEŃ"</f>
        <v>0  I DZIEŃ</v>
      </c>
      <c r="B142" s="61">
        <f>szkoły!D36</f>
        <v>0</v>
      </c>
      <c r="C142" s="105"/>
      <c r="D142" s="106">
        <f>IF(C142&gt;="",0,IF(C142&gt;12.75,0,IF(C142&lt;7.38,(200+(7.38-C142)*100),VLOOKUP(-C142,baza!$E$3:$F$202,2,1))))</f>
        <v>0</v>
      </c>
      <c r="E142" s="105"/>
      <c r="F142" s="106">
        <f>IF(E142&lt;8,0,IF(E142&gt;77,(200+(E142-77)*2),VLOOKUP(E142,baza!$H$3:$J$202,3,0)))</f>
        <v>0</v>
      </c>
      <c r="G142" s="107"/>
      <c r="H142" s="106">
        <f>IF(G142&lt;80,0,IF(G142&gt;179,200+(G142-179),VLOOKUP(G142,baza!$I:$J,2,0)))</f>
        <v>0</v>
      </c>
      <c r="I142" s="107"/>
      <c r="J142" s="106">
        <f>IF(I142&lt;210,0,IF(I142&gt;593,(200+(I142-593)*2),VLOOKUP(I142,baza!$B$3:$F$202,5,1)))</f>
        <v>0</v>
      </c>
      <c r="K142" s="108"/>
      <c r="L142" s="106">
        <f>IF(K142="",0,IF(K142&gt;(-1*baza!$D$3),0,IF(K142&lt;132.11,INT(200+(132.11-K142)*5),VLOOKUP(-K142,baza!$D$1:$F$203,3,1))))</f>
        <v>0</v>
      </c>
      <c r="M142" s="109">
        <f t="shared" si="38"/>
        <v>0</v>
      </c>
      <c r="N142" s="110">
        <f t="shared" si="39"/>
        <v>0</v>
      </c>
      <c r="O142" s="14"/>
      <c r="P142" s="9"/>
    </row>
    <row r="143" spans="1:16" ht="18" thickTop="1" thickBot="1">
      <c r="A143" s="29" t="str">
        <f>O146 &amp; "  " &amp; "II DZIEŃ"</f>
        <v>0  II DZIEŃ</v>
      </c>
      <c r="B143" s="61">
        <f>szkoły!D37</f>
        <v>0</v>
      </c>
      <c r="C143" s="105"/>
      <c r="D143" s="106">
        <f>IF(C143&gt;="",0,IF(C143&gt;12.75,0,IF(C143&lt;7.38,(200+(7.38-C143)*100),VLOOKUP(-C143,baza!$E$3:$F$202,2,1))))</f>
        <v>0</v>
      </c>
      <c r="E143" s="105"/>
      <c r="F143" s="106">
        <f>IF(E143&lt;8,0,IF(E143&gt;77,(200+(E143-77)*2),VLOOKUP(E143,baza!$H$3:$J$202,3,0)))</f>
        <v>0</v>
      </c>
      <c r="G143" s="107"/>
      <c r="H143" s="106">
        <f>IF(G143&lt;80,0,IF(G143&gt;179,200+(G143-179),VLOOKUP(G143,baza!$I:$J,2,0)))</f>
        <v>0</v>
      </c>
      <c r="I143" s="107"/>
      <c r="J143" s="106">
        <f>IF(I143&lt;210,0,IF(I143&gt;593,(200+(I143-593)*2),VLOOKUP(I143,baza!$B$3:$F$202,5,1)))</f>
        <v>0</v>
      </c>
      <c r="K143" s="108"/>
      <c r="L143" s="106">
        <f>IF(K143="",0,IF(K143&gt;(-1*baza!$D$3),0,IF(K143&lt;132.11,INT(200+(132.11-K143)*5),VLOOKUP(-K143,baza!$D$1:$F$203,3,1))))</f>
        <v>0</v>
      </c>
      <c r="M143" s="109">
        <f t="shared" si="38"/>
        <v>0</v>
      </c>
      <c r="N143" s="110">
        <f t="shared" si="39"/>
        <v>0</v>
      </c>
      <c r="O143" s="14"/>
      <c r="P143" s="9"/>
    </row>
    <row r="144" spans="1:16" ht="18" thickTop="1" thickBot="1">
      <c r="A144" s="10"/>
      <c r="B144" s="61">
        <f>szkoły!D38</f>
        <v>0</v>
      </c>
      <c r="C144" s="105"/>
      <c r="D144" s="106">
        <f>IF(C144&gt;="",0,IF(C144&gt;12.75,0,IF(C144&lt;7.38,(200+(7.38-C144)*100),VLOOKUP(-C144,baza!$E$3:$F$202,2,1))))</f>
        <v>0</v>
      </c>
      <c r="E144" s="105"/>
      <c r="F144" s="106">
        <f>IF(E144&lt;8,0,IF(E144&gt;77,(200+(E144-77)*2),VLOOKUP(E144,baza!$H$3:$J$202,3,0)))</f>
        <v>0</v>
      </c>
      <c r="G144" s="107"/>
      <c r="H144" s="106">
        <f>IF(G144&lt;80,0,IF(G144&gt;179,200+(G144-179),VLOOKUP(G144,baza!$I:$J,2,0)))</f>
        <v>0</v>
      </c>
      <c r="I144" s="107"/>
      <c r="J144" s="106">
        <f>IF(I144&lt;210,0,IF(I144&gt;593,(200+(I144-593)*2),VLOOKUP(I144,baza!$B$3:$F$202,5,1)))</f>
        <v>0</v>
      </c>
      <c r="K144" s="108"/>
      <c r="L144" s="106">
        <f>IF(K144="",0,IF(K144&gt;(-1*baza!$D$3),0,IF(K144&lt;132.11,INT(200+(132.11-K144)*5),VLOOKUP(-K144,baza!$D$1:$F$203,3,1))))</f>
        <v>0</v>
      </c>
      <c r="M144" s="109">
        <f t="shared" si="38"/>
        <v>0</v>
      </c>
      <c r="N144" s="110">
        <f t="shared" si="39"/>
        <v>0</v>
      </c>
      <c r="O144" s="14"/>
      <c r="P144" s="9"/>
    </row>
    <row r="145" spans="1:16" ht="18" thickTop="1" thickBot="1">
      <c r="A145" s="10"/>
      <c r="B145" s="61">
        <f>szkoły!D39</f>
        <v>0</v>
      </c>
      <c r="C145" s="105"/>
      <c r="D145" s="106">
        <f>IF(C145&gt;="",0,IF(C145&gt;12.75,0,IF(C145&lt;7.38,(200+(7.38-C145)*100),VLOOKUP(-C145,baza!$E$3:$F$202,2,1))))</f>
        <v>0</v>
      </c>
      <c r="E145" s="105"/>
      <c r="F145" s="106">
        <f>IF(E145&lt;8,0,IF(E145&gt;77,(200+(E145-77)*2),VLOOKUP(E145,baza!$H$3:$J$202,3,0)))</f>
        <v>0</v>
      </c>
      <c r="G145" s="107"/>
      <c r="H145" s="106">
        <f>IF(G145&lt;80,0,IF(G145&gt;179,200+(G145-179),VLOOKUP(G145,baza!$I:$J,2,0)))</f>
        <v>0</v>
      </c>
      <c r="I145" s="107"/>
      <c r="J145" s="106">
        <f>IF(I145&lt;210,0,IF(I145&gt;593,(200+(I145-593)*2),VLOOKUP(I145,baza!$B$3:$F$202,5,1)))</f>
        <v>0</v>
      </c>
      <c r="K145" s="108"/>
      <c r="L145" s="106">
        <f>IF(K145="",0,IF(K145&gt;(-1*baza!$D$3),0,IF(K145&lt;132.11,INT(200+(132.11-K145)*5),VLOOKUP(-K145,baza!$D$1:$F$203,3,1))))</f>
        <v>0</v>
      </c>
      <c r="M145" s="109">
        <f t="shared" si="38"/>
        <v>0</v>
      </c>
      <c r="N145" s="110">
        <f t="shared" si="39"/>
        <v>0</v>
      </c>
      <c r="O145" s="15">
        <f>SUM(M141:M146)</f>
        <v>0</v>
      </c>
      <c r="P145" s="8" t="s">
        <v>1716</v>
      </c>
    </row>
    <row r="146" spans="1:16" ht="18" thickTop="1" thickBot="1">
      <c r="A146" s="10"/>
      <c r="B146" s="61">
        <f>szkoły!D40</f>
        <v>0</v>
      </c>
      <c r="C146" s="105"/>
      <c r="D146" s="106">
        <f>IF(C146&gt;="",0,IF(C146&gt;12.75,0,IF(C146&lt;7.38,(200+(7.38-C146)*100),VLOOKUP(-C146,baza!$E$3:$F$202,2,1))))</f>
        <v>0</v>
      </c>
      <c r="E146" s="105"/>
      <c r="F146" s="106">
        <f>IF(E146&lt;8,0,IF(E146&gt;77,(200+(E146-77)*2),VLOOKUP(E146,baza!$H$3:$J$202,3,0)))</f>
        <v>0</v>
      </c>
      <c r="G146" s="107"/>
      <c r="H146" s="106">
        <f>IF(G146&lt;80,0,IF(G146&gt;179,200+(G146-179),VLOOKUP(G146,baza!$I:$J,2,0)))</f>
        <v>0</v>
      </c>
      <c r="I146" s="107"/>
      <c r="J146" s="106">
        <f>IF(I146&lt;210,0,IF(I146&gt;593,(200+(I146-593)*2),VLOOKUP(I146,baza!$B$3:$F$202,5,1)))</f>
        <v>0</v>
      </c>
      <c r="K146" s="108"/>
      <c r="L146" s="106">
        <f>IF(K146="",0,IF(K146&gt;(-1*baza!$D$3),0,IF(K146&lt;132.11,INT(200+(132.11-K146)*5),VLOOKUP(-K146,baza!$D$1:$F$203,3,1))))</f>
        <v>0</v>
      </c>
      <c r="M146" s="109">
        <f t="shared" si="38"/>
        <v>0</v>
      </c>
      <c r="N146" s="110">
        <f t="shared" si="39"/>
        <v>0</v>
      </c>
      <c r="O146" s="15">
        <f>IF(COUNT(N141:N146)&lt;6,SUM(N141:N146),SUM(N141:N146)-MIN(N141:N146))</f>
        <v>0</v>
      </c>
      <c r="P146" s="8" t="s">
        <v>1718</v>
      </c>
    </row>
    <row r="147" spans="1:16" ht="16.5" thickTop="1" thickBot="1">
      <c r="A147" s="13">
        <f>szkoły!A42</f>
        <v>0</v>
      </c>
      <c r="B147" s="60" t="s">
        <v>1713</v>
      </c>
      <c r="C147" s="21" t="s">
        <v>1710</v>
      </c>
      <c r="D147" s="21" t="s">
        <v>1714</v>
      </c>
      <c r="E147" s="24" t="s">
        <v>1715</v>
      </c>
      <c r="F147" s="21" t="s">
        <v>1714</v>
      </c>
      <c r="G147" s="23" t="s">
        <v>1712</v>
      </c>
      <c r="H147" s="21" t="s">
        <v>1714</v>
      </c>
      <c r="I147" s="23" t="s">
        <v>1708</v>
      </c>
      <c r="J147" s="21" t="s">
        <v>1714</v>
      </c>
      <c r="K147" s="25" t="s">
        <v>1724</v>
      </c>
      <c r="L147" s="21" t="s">
        <v>1714</v>
      </c>
      <c r="M147" s="22" t="s">
        <v>1716</v>
      </c>
      <c r="N147" s="22" t="s">
        <v>1717</v>
      </c>
      <c r="O147" s="14"/>
      <c r="P147" s="9"/>
    </row>
    <row r="148" spans="1:16" ht="18" thickTop="1" thickBot="1">
      <c r="A148" s="7"/>
      <c r="B148" s="61">
        <f>szkoły!A43</f>
        <v>0</v>
      </c>
      <c r="C148" s="105"/>
      <c r="D148" s="106">
        <f>IF(C148&gt;="",0,IF(C148&gt;12.75,0,IF(C148&lt;7.38,(200+(7.38-C148)*100),VLOOKUP(-C148,baza!$E$3:$F$202,2,1))))</f>
        <v>0</v>
      </c>
      <c r="E148" s="105"/>
      <c r="F148" s="106">
        <f>IF(E148&lt;8,0,IF(E148&gt;77,(200+(E148-77)*2),VLOOKUP(E148,baza!$H$3:$J$202,3,0)))</f>
        <v>0</v>
      </c>
      <c r="G148" s="107"/>
      <c r="H148" s="106">
        <f>IF(G148&lt;80,0,IF(G148&gt;179,200+(G148-179),VLOOKUP(G148,baza!$I:$J,2,0)))</f>
        <v>0</v>
      </c>
      <c r="I148" s="107"/>
      <c r="J148" s="106">
        <f>IF(I148&lt;210,0,IF(I148&gt;593,(200+(I148-593)*2),VLOOKUP(I148,baza!$B$3:$F$202,5,1)))</f>
        <v>0</v>
      </c>
      <c r="K148" s="108"/>
      <c r="L148" s="106">
        <f>IF(K148="",0,IF(K148&gt;(-1*baza!$D$3),0,IF(K148&lt;132.11,INT(200+(132.11-K148)*5),VLOOKUP(-K148,baza!$D$1:$F$203,3,1))))</f>
        <v>0</v>
      </c>
      <c r="M148" s="109">
        <f t="shared" ref="M148:M153" si="40">(D148+F148+H148+J148)</f>
        <v>0</v>
      </c>
      <c r="N148" s="110">
        <f t="shared" ref="N148:N153" si="41">M148+L148</f>
        <v>0</v>
      </c>
      <c r="O148" s="14"/>
      <c r="P148" s="9"/>
    </row>
    <row r="149" spans="1:16" ht="18" thickTop="1" thickBot="1">
      <c r="A149" s="29" t="str">
        <f>O152 &amp; "  " &amp; "I DZIEŃ"</f>
        <v>0  I DZIEŃ</v>
      </c>
      <c r="B149" s="61">
        <f>szkoły!A44</f>
        <v>0</v>
      </c>
      <c r="C149" s="105"/>
      <c r="D149" s="106">
        <f>IF(C149&gt;="",0,IF(C149&gt;12.75,0,IF(C149&lt;7.38,(200+(7.38-C149)*100),VLOOKUP(-C149,baza!$E$3:$F$202,2,1))))</f>
        <v>0</v>
      </c>
      <c r="E149" s="105"/>
      <c r="F149" s="106">
        <f>IF(E149&lt;8,0,IF(E149&gt;77,(200+(E149-77)*2),VLOOKUP(E149,baza!$H$3:$J$202,3,0)))</f>
        <v>0</v>
      </c>
      <c r="G149" s="107"/>
      <c r="H149" s="106">
        <f>IF(G149&lt;80,0,IF(G149&gt;179,200+(G149-179),VLOOKUP(G149,baza!$I:$J,2,0)))</f>
        <v>0</v>
      </c>
      <c r="I149" s="107"/>
      <c r="J149" s="106">
        <f>IF(I149&lt;210,0,IF(I149&gt;593,(200+(I149-593)*2),VLOOKUP(I149,baza!$B$3:$F$202,5,1)))</f>
        <v>0</v>
      </c>
      <c r="K149" s="108"/>
      <c r="L149" s="106">
        <f>IF(K149="",0,IF(K149&gt;(-1*baza!$D$3),0,IF(K149&lt;132.11,INT(200+(132.11-K149)*5),VLOOKUP(-K149,baza!$D$1:$F$203,3,1))))</f>
        <v>0</v>
      </c>
      <c r="M149" s="109">
        <f t="shared" si="40"/>
        <v>0</v>
      </c>
      <c r="N149" s="110">
        <f t="shared" si="41"/>
        <v>0</v>
      </c>
      <c r="O149" s="14"/>
      <c r="P149" s="9"/>
    </row>
    <row r="150" spans="1:16" ht="18" thickTop="1" thickBot="1">
      <c r="A150" s="29" t="str">
        <f>O153 &amp; "  " &amp; "II DZIEŃ"</f>
        <v>0  II DZIEŃ</v>
      </c>
      <c r="B150" s="61">
        <f>szkoły!A45</f>
        <v>0</v>
      </c>
      <c r="C150" s="105"/>
      <c r="D150" s="106">
        <f>IF(C150&gt;="",0,IF(C150&gt;12.75,0,IF(C150&lt;7.38,(200+(7.38-C150)*100),VLOOKUP(-C150,baza!$E$3:$F$202,2,1))))</f>
        <v>0</v>
      </c>
      <c r="E150" s="105"/>
      <c r="F150" s="106">
        <f>IF(E150&lt;8,0,IF(E150&gt;77,(200+(E150-77)*2),VLOOKUP(E150,baza!$H$3:$J$202,3,0)))</f>
        <v>0</v>
      </c>
      <c r="G150" s="107"/>
      <c r="H150" s="106">
        <f>IF(G150&lt;80,0,IF(G150&gt;179,200+(G150-179),VLOOKUP(G150,baza!$I:$J,2,0)))</f>
        <v>0</v>
      </c>
      <c r="I150" s="107"/>
      <c r="J150" s="106">
        <f>IF(I150&lt;210,0,IF(I150&gt;593,(200+(I150-593)*2),VLOOKUP(I150,baza!$B$3:$F$202,5,1)))</f>
        <v>0</v>
      </c>
      <c r="K150" s="108"/>
      <c r="L150" s="106">
        <f>IF(K150="",0,IF(K150&gt;(-1*baza!$D$3),0,IF(K150&lt;132.11,INT(200+(132.11-K150)*5),VLOOKUP(-K150,baza!$D$1:$F$203,3,1))))</f>
        <v>0</v>
      </c>
      <c r="M150" s="109">
        <f t="shared" si="40"/>
        <v>0</v>
      </c>
      <c r="N150" s="110">
        <f t="shared" si="41"/>
        <v>0</v>
      </c>
      <c r="O150" s="14"/>
      <c r="P150" s="9"/>
    </row>
    <row r="151" spans="1:16" ht="18" thickTop="1" thickBot="1">
      <c r="A151" s="7"/>
      <c r="B151" s="61">
        <f>szkoły!A46</f>
        <v>0</v>
      </c>
      <c r="C151" s="105"/>
      <c r="D151" s="106">
        <f>IF(C151&gt;="",0,IF(C151&gt;12.75,0,IF(C151&lt;7.38,(200+(7.38-C151)*100),VLOOKUP(-C151,baza!$E$3:$F$202,2,1))))</f>
        <v>0</v>
      </c>
      <c r="E151" s="105"/>
      <c r="F151" s="106">
        <f>IF(E151&lt;8,0,IF(E151&gt;77,(200+(E151-77)*2),VLOOKUP(E151,baza!$H$3:$J$202,3,0)))</f>
        <v>0</v>
      </c>
      <c r="G151" s="107"/>
      <c r="H151" s="106">
        <f>IF(G151&lt;80,0,IF(G151&gt;179,200+(G151-179),VLOOKUP(G151,baza!$I:$J,2,0)))</f>
        <v>0</v>
      </c>
      <c r="I151" s="107"/>
      <c r="J151" s="106">
        <f>IF(I151&lt;210,0,IF(I151&gt;593,(200+(I151-593)*2),VLOOKUP(I151,baza!$B$3:$F$202,5,1)))</f>
        <v>0</v>
      </c>
      <c r="K151" s="108"/>
      <c r="L151" s="106">
        <f>IF(K151="",0,IF(K151&gt;(-1*baza!$D$3),0,IF(K151&lt;132.11,INT(200+(132.11-K151)*5),VLOOKUP(-K151,baza!$D$1:$F$203,3,1))))</f>
        <v>0</v>
      </c>
      <c r="M151" s="109">
        <f t="shared" si="40"/>
        <v>0</v>
      </c>
      <c r="N151" s="110">
        <f t="shared" si="41"/>
        <v>0</v>
      </c>
      <c r="O151" s="14"/>
      <c r="P151" s="9"/>
    </row>
    <row r="152" spans="1:16" ht="18" thickTop="1" thickBot="1">
      <c r="A152" s="7"/>
      <c r="B152" s="61">
        <f>szkoły!A47</f>
        <v>0</v>
      </c>
      <c r="C152" s="105"/>
      <c r="D152" s="106">
        <f>IF(C152&gt;="",0,IF(C152&gt;12.75,0,IF(C152&lt;7.38,(200+(7.38-C152)*100),VLOOKUP(-C152,baza!$E$3:$F$202,2,1))))</f>
        <v>0</v>
      </c>
      <c r="E152" s="105"/>
      <c r="F152" s="106">
        <f>IF(E152&lt;8,0,IF(E152&gt;77,(200+(E152-77)*2),VLOOKUP(E152,baza!$H$3:$J$202,3,0)))</f>
        <v>0</v>
      </c>
      <c r="G152" s="107"/>
      <c r="H152" s="106">
        <f>IF(G152&lt;80,0,IF(G152&gt;179,200+(G152-179),VLOOKUP(G152,baza!$I:$J,2,0)))</f>
        <v>0</v>
      </c>
      <c r="I152" s="107"/>
      <c r="J152" s="106">
        <f>IF(I152&lt;210,0,IF(I152&gt;593,(200+(I152-593)*2),VLOOKUP(I152,baza!$B$3:$F$202,5,1)))</f>
        <v>0</v>
      </c>
      <c r="K152" s="108"/>
      <c r="L152" s="106">
        <f>IF(K152="",0,IF(K152&gt;(-1*baza!$D$3),0,IF(K152&lt;132.11,INT(200+(132.11-K152)*5),VLOOKUP(-K152,baza!$D$1:$F$203,3,1))))</f>
        <v>0</v>
      </c>
      <c r="M152" s="109">
        <f t="shared" si="40"/>
        <v>0</v>
      </c>
      <c r="N152" s="110">
        <f t="shared" si="41"/>
        <v>0</v>
      </c>
      <c r="O152" s="15">
        <f>SUM(M148:M153)</f>
        <v>0</v>
      </c>
      <c r="P152" s="8" t="s">
        <v>1716</v>
      </c>
    </row>
    <row r="153" spans="1:16" ht="18" thickTop="1" thickBot="1">
      <c r="A153" s="7"/>
      <c r="B153" s="61">
        <f>szkoły!A48</f>
        <v>0</v>
      </c>
      <c r="C153" s="105"/>
      <c r="D153" s="106">
        <f>IF(C153&gt;="",0,IF(C153&gt;12.75,0,IF(C153&lt;7.38,(200+(7.38-C153)*100),VLOOKUP(-C153,baza!$E$3:$F$202,2,1))))</f>
        <v>0</v>
      </c>
      <c r="E153" s="105"/>
      <c r="F153" s="106">
        <f>IF(E153&lt;8,0,IF(E153&gt;77,(200+(E153-77)*2),VLOOKUP(E153,baza!$H$3:$J$202,3,0)))</f>
        <v>0</v>
      </c>
      <c r="G153" s="107"/>
      <c r="H153" s="106">
        <f>IF(G153&lt;80,0,IF(G153&gt;179,200+(G153-179),VLOOKUP(G153,baza!$I:$J,2,0)))</f>
        <v>0</v>
      </c>
      <c r="I153" s="107"/>
      <c r="J153" s="106">
        <f>IF(I153&lt;210,0,IF(I153&gt;593,(200+(I153-593)*2),VLOOKUP(I153,baza!$B$3:$F$202,5,1)))</f>
        <v>0</v>
      </c>
      <c r="K153" s="108"/>
      <c r="L153" s="106">
        <f>IF(K153="",0,IF(K153&gt;(-1*baza!$D$3),0,IF(K153&lt;132.11,INT(200+(132.11-K153)*5),VLOOKUP(-K153,baza!$D$1:$F$203,3,1))))</f>
        <v>0</v>
      </c>
      <c r="M153" s="109">
        <f t="shared" si="40"/>
        <v>0</v>
      </c>
      <c r="N153" s="110">
        <f t="shared" si="41"/>
        <v>0</v>
      </c>
      <c r="O153" s="15">
        <f>IF(COUNT(N148:N153)&lt;6,SUM(N148:N153),SUM(N148:N153)-MIN(N148:N153))</f>
        <v>0</v>
      </c>
      <c r="P153" s="8" t="s">
        <v>1718</v>
      </c>
    </row>
    <row r="154" spans="1:16" ht="16.5" thickTop="1" thickBot="1">
      <c r="A154" s="13">
        <f>szkoły!B42</f>
        <v>0</v>
      </c>
      <c r="B154" s="60" t="s">
        <v>1713</v>
      </c>
      <c r="C154" s="21" t="s">
        <v>1710</v>
      </c>
      <c r="D154" s="21" t="s">
        <v>1714</v>
      </c>
      <c r="E154" s="24" t="s">
        <v>1715</v>
      </c>
      <c r="F154" s="21" t="s">
        <v>1714</v>
      </c>
      <c r="G154" s="23" t="s">
        <v>1712</v>
      </c>
      <c r="H154" s="21" t="s">
        <v>1714</v>
      </c>
      <c r="I154" s="23" t="s">
        <v>1708</v>
      </c>
      <c r="J154" s="21" t="s">
        <v>1714</v>
      </c>
      <c r="K154" s="25" t="s">
        <v>1724</v>
      </c>
      <c r="L154" s="21" t="s">
        <v>1714</v>
      </c>
      <c r="M154" s="22" t="s">
        <v>1716</v>
      </c>
      <c r="N154" s="22" t="s">
        <v>1717</v>
      </c>
      <c r="O154" s="14"/>
      <c r="P154" s="9"/>
    </row>
    <row r="155" spans="1:16" ht="18" thickTop="1" thickBot="1">
      <c r="A155" s="10"/>
      <c r="B155" s="61">
        <f>szkoły!B43</f>
        <v>0</v>
      </c>
      <c r="C155" s="105"/>
      <c r="D155" s="106">
        <f>IF(C155&gt;="",0,IF(C155&gt;12.75,0,IF(C155&lt;7.38,(200+(7.38-C155)*100),VLOOKUP(-C155,baza!$E$3:$F$202,2,1))))</f>
        <v>0</v>
      </c>
      <c r="E155" s="105"/>
      <c r="F155" s="106">
        <f>IF(E155&lt;8,0,IF(E155&gt;77,(200+(E155-77)*2),VLOOKUP(E155,baza!$H$3:$J$202,3,0)))</f>
        <v>0</v>
      </c>
      <c r="G155" s="107"/>
      <c r="H155" s="106">
        <f>IF(G155&lt;80,0,IF(G155&gt;179,200+(G155-179),VLOOKUP(G155,baza!$I:$J,2,0)))</f>
        <v>0</v>
      </c>
      <c r="I155" s="107"/>
      <c r="J155" s="106">
        <f>IF(I155&lt;210,0,IF(I155&gt;593,(200+(I155-593)*2),VLOOKUP(I155,baza!$B$3:$F$202,5,1)))</f>
        <v>0</v>
      </c>
      <c r="K155" s="108"/>
      <c r="L155" s="106">
        <f>IF(K155="",0,IF(K155&gt;(-1*baza!$D$3),0,IF(K155&lt;132.11,INT(200+(132.11-K155)*5),VLOOKUP(-K155,baza!$D$1:$F$203,3,1))))</f>
        <v>0</v>
      </c>
      <c r="M155" s="109">
        <f t="shared" ref="M155:M160" si="42">(D155+F155+H155+J155)</f>
        <v>0</v>
      </c>
      <c r="N155" s="110">
        <f t="shared" ref="N155:N160" si="43">M155+L155</f>
        <v>0</v>
      </c>
      <c r="O155" s="14"/>
      <c r="P155" s="9"/>
    </row>
    <row r="156" spans="1:16" ht="18" thickTop="1" thickBot="1">
      <c r="A156" s="29" t="str">
        <f>O159 &amp; "  " &amp; "I DZIEŃ"</f>
        <v>0  I DZIEŃ</v>
      </c>
      <c r="B156" s="61">
        <f>szkoły!B44</f>
        <v>0</v>
      </c>
      <c r="C156" s="105"/>
      <c r="D156" s="106">
        <f>IF(C156&gt;="",0,IF(C156&gt;12.75,0,IF(C156&lt;7.38,(200+(7.38-C156)*100),VLOOKUP(-C156,baza!$E$3:$F$202,2,1))))</f>
        <v>0</v>
      </c>
      <c r="E156" s="105"/>
      <c r="F156" s="106">
        <f>IF(E156&lt;8,0,IF(E156&gt;77,(200+(E156-77)*2),VLOOKUP(E156,baza!$H$3:$J$202,3,0)))</f>
        <v>0</v>
      </c>
      <c r="G156" s="107"/>
      <c r="H156" s="106">
        <f>IF(G156&lt;80,0,IF(G156&gt;179,200+(G156-179),VLOOKUP(G156,baza!$I:$J,2,0)))</f>
        <v>0</v>
      </c>
      <c r="I156" s="107"/>
      <c r="J156" s="106">
        <f>IF(I156&lt;210,0,IF(I156&gt;593,(200+(I156-593)*2),VLOOKUP(I156,baza!$B$3:$F$202,5,1)))</f>
        <v>0</v>
      </c>
      <c r="K156" s="108"/>
      <c r="L156" s="106">
        <f>IF(K156="",0,IF(K156&gt;(-1*baza!$D$3),0,IF(K156&lt;132.11,INT(200+(132.11-K156)*5),VLOOKUP(-K156,baza!$D$1:$F$203,3,1))))</f>
        <v>0</v>
      </c>
      <c r="M156" s="109">
        <f t="shared" si="42"/>
        <v>0</v>
      </c>
      <c r="N156" s="110">
        <f t="shared" si="43"/>
        <v>0</v>
      </c>
      <c r="O156" s="14"/>
      <c r="P156" s="9"/>
    </row>
    <row r="157" spans="1:16" ht="18" thickTop="1" thickBot="1">
      <c r="A157" s="29" t="str">
        <f>O160 &amp; "  " &amp; "II DZIEŃ"</f>
        <v>0  II DZIEŃ</v>
      </c>
      <c r="B157" s="61">
        <f>szkoły!B45</f>
        <v>0</v>
      </c>
      <c r="C157" s="105"/>
      <c r="D157" s="106">
        <f>IF(C157&gt;="",0,IF(C157&gt;12.75,0,IF(C157&lt;7.38,(200+(7.38-C157)*100),VLOOKUP(-C157,baza!$E$3:$F$202,2,1))))</f>
        <v>0</v>
      </c>
      <c r="E157" s="105"/>
      <c r="F157" s="106">
        <f>IF(E157&lt;8,0,IF(E157&gt;77,(200+(E157-77)*2),VLOOKUP(E157,baza!$H$3:$J$202,3,0)))</f>
        <v>0</v>
      </c>
      <c r="G157" s="107"/>
      <c r="H157" s="106">
        <f>IF(G157&lt;80,0,IF(G157&gt;179,200+(G157-179),VLOOKUP(G157,baza!$I:$J,2,0)))</f>
        <v>0</v>
      </c>
      <c r="I157" s="107"/>
      <c r="J157" s="106">
        <f>IF(I157&lt;210,0,IF(I157&gt;593,(200+(I157-593)*2),VLOOKUP(I157,baza!$B$3:$F$202,5,1)))</f>
        <v>0</v>
      </c>
      <c r="K157" s="108"/>
      <c r="L157" s="106">
        <f>IF(K157="",0,IF(K157&gt;(-1*baza!$D$3),0,IF(K157&lt;132.11,INT(200+(132.11-K157)*5),VLOOKUP(-K157,baza!$D$1:$F$203,3,1))))</f>
        <v>0</v>
      </c>
      <c r="M157" s="109">
        <f t="shared" si="42"/>
        <v>0</v>
      </c>
      <c r="N157" s="110">
        <f t="shared" si="43"/>
        <v>0</v>
      </c>
      <c r="O157" s="14"/>
      <c r="P157" s="9"/>
    </row>
    <row r="158" spans="1:16" ht="18" thickTop="1" thickBot="1">
      <c r="A158" s="10"/>
      <c r="B158" s="61">
        <f>szkoły!B46</f>
        <v>0</v>
      </c>
      <c r="C158" s="105"/>
      <c r="D158" s="106">
        <f>IF(C158&gt;="",0,IF(C158&gt;12.75,0,IF(C158&lt;7.38,(200+(7.38-C158)*100),VLOOKUP(-C158,baza!$E$3:$F$202,2,1))))</f>
        <v>0</v>
      </c>
      <c r="E158" s="105"/>
      <c r="F158" s="106">
        <f>IF(E158&lt;8,0,IF(E158&gt;77,(200+(E158-77)*2),VLOOKUP(E158,baza!$H$3:$J$202,3,0)))</f>
        <v>0</v>
      </c>
      <c r="G158" s="107"/>
      <c r="H158" s="106">
        <f>IF(G158&lt;80,0,IF(G158&gt;179,200+(G158-179),VLOOKUP(G158,baza!$I:$J,2,0)))</f>
        <v>0</v>
      </c>
      <c r="I158" s="107"/>
      <c r="J158" s="106">
        <f>IF(I158&lt;210,0,IF(I158&gt;593,(200+(I158-593)*2),VLOOKUP(I158,baza!$B$3:$F$202,5,1)))</f>
        <v>0</v>
      </c>
      <c r="K158" s="108"/>
      <c r="L158" s="106">
        <f>IF(K158="",0,IF(K158&gt;(-1*baza!$D$3),0,IF(K158&lt;132.11,INT(200+(132.11-K158)*5),VLOOKUP(-K158,baza!$D$1:$F$203,3,1))))</f>
        <v>0</v>
      </c>
      <c r="M158" s="109">
        <f t="shared" si="42"/>
        <v>0</v>
      </c>
      <c r="N158" s="110">
        <f t="shared" si="43"/>
        <v>0</v>
      </c>
      <c r="O158" s="14"/>
      <c r="P158" s="9"/>
    </row>
    <row r="159" spans="1:16" ht="18" thickTop="1" thickBot="1">
      <c r="A159" s="10"/>
      <c r="B159" s="61">
        <f>szkoły!B47</f>
        <v>0</v>
      </c>
      <c r="C159" s="105"/>
      <c r="D159" s="106">
        <f>IF(C159&gt;="",0,IF(C159&gt;12.75,0,IF(C159&lt;7.38,(200+(7.38-C159)*100),VLOOKUP(-C159,baza!$E$3:$F$202,2,1))))</f>
        <v>0</v>
      </c>
      <c r="E159" s="105"/>
      <c r="F159" s="106">
        <f>IF(E159&lt;8,0,IF(E159&gt;77,(200+(E159-77)*2),VLOOKUP(E159,baza!$H$3:$J$202,3,0)))</f>
        <v>0</v>
      </c>
      <c r="G159" s="107"/>
      <c r="H159" s="106">
        <f>IF(G159&lt;80,0,IF(G159&gt;179,200+(G159-179),VLOOKUP(G159,baza!$I:$J,2,0)))</f>
        <v>0</v>
      </c>
      <c r="I159" s="107"/>
      <c r="J159" s="106">
        <f>IF(I159&lt;210,0,IF(I159&gt;593,(200+(I159-593)*2),VLOOKUP(I159,baza!$B$3:$F$202,5,1)))</f>
        <v>0</v>
      </c>
      <c r="K159" s="108"/>
      <c r="L159" s="106">
        <f>IF(K159="",0,IF(K159&gt;(-1*baza!$D$3),0,IF(K159&lt;132.11,INT(200+(132.11-K159)*5),VLOOKUP(-K159,baza!$D$1:$F$203,3,1))))</f>
        <v>0</v>
      </c>
      <c r="M159" s="109">
        <f t="shared" si="42"/>
        <v>0</v>
      </c>
      <c r="N159" s="110">
        <f t="shared" si="43"/>
        <v>0</v>
      </c>
      <c r="O159" s="15">
        <f>SUM(M155:M160)</f>
        <v>0</v>
      </c>
      <c r="P159" s="8" t="s">
        <v>1716</v>
      </c>
    </row>
    <row r="160" spans="1:16" ht="18" thickTop="1" thickBot="1">
      <c r="A160" s="10"/>
      <c r="B160" s="61">
        <f>szkoły!B48</f>
        <v>0</v>
      </c>
      <c r="C160" s="105"/>
      <c r="D160" s="106">
        <f>IF(C160&gt;="",0,IF(C160&gt;12.75,0,IF(C160&lt;7.38,(200+(7.38-C160)*100),VLOOKUP(-C160,baza!$E$3:$F$202,2,1))))</f>
        <v>0</v>
      </c>
      <c r="E160" s="105"/>
      <c r="F160" s="106">
        <f>IF(E160&lt;8,0,IF(E160&gt;77,(200+(E160-77)*2),VLOOKUP(E160,baza!$H$3:$J$202,3,0)))</f>
        <v>0</v>
      </c>
      <c r="G160" s="107"/>
      <c r="H160" s="106">
        <f>IF(G160&lt;80,0,IF(G160&gt;179,200+(G160-179),VLOOKUP(G160,baza!$I:$J,2,0)))</f>
        <v>0</v>
      </c>
      <c r="I160" s="107"/>
      <c r="J160" s="106">
        <f>IF(I160&lt;210,0,IF(I160&gt;593,(200+(I160-593)*2),VLOOKUP(I160,baza!$B$3:$F$202,5,1)))</f>
        <v>0</v>
      </c>
      <c r="K160" s="108"/>
      <c r="L160" s="106">
        <f>IF(K160="",0,IF(K160&gt;(-1*baza!$D$3),0,IF(K160&lt;132.11,INT(200+(132.11-K160)*5),VLOOKUP(-K160,baza!$D$1:$F$203,3,1))))</f>
        <v>0</v>
      </c>
      <c r="M160" s="109">
        <f t="shared" si="42"/>
        <v>0</v>
      </c>
      <c r="N160" s="110">
        <f t="shared" si="43"/>
        <v>0</v>
      </c>
      <c r="O160" s="15">
        <f>IF(COUNT(N155:N160)&lt;6,SUM(N155:N160),SUM(N155:N160)-MIN(N155:N160))</f>
        <v>0</v>
      </c>
      <c r="P160" s="8" t="s">
        <v>1718</v>
      </c>
    </row>
    <row r="161" spans="1:16" ht="16.5" thickTop="1" thickBot="1">
      <c r="A161" s="13">
        <f>szkoły!C42</f>
        <v>0</v>
      </c>
      <c r="B161" s="60" t="s">
        <v>1713</v>
      </c>
      <c r="C161" s="21" t="s">
        <v>1710</v>
      </c>
      <c r="D161" s="21" t="s">
        <v>1714</v>
      </c>
      <c r="E161" s="24" t="s">
        <v>1715</v>
      </c>
      <c r="F161" s="21" t="s">
        <v>1714</v>
      </c>
      <c r="G161" s="23" t="s">
        <v>1712</v>
      </c>
      <c r="H161" s="21" t="s">
        <v>1714</v>
      </c>
      <c r="I161" s="23" t="s">
        <v>1708</v>
      </c>
      <c r="J161" s="21" t="s">
        <v>1714</v>
      </c>
      <c r="K161" s="25" t="s">
        <v>1724</v>
      </c>
      <c r="L161" s="21" t="s">
        <v>1714</v>
      </c>
      <c r="M161" s="22" t="s">
        <v>1716</v>
      </c>
      <c r="N161" s="22" t="s">
        <v>1717</v>
      </c>
      <c r="O161" s="14"/>
      <c r="P161" s="9"/>
    </row>
    <row r="162" spans="1:16" ht="18" thickTop="1" thickBot="1">
      <c r="A162" s="7"/>
      <c r="B162" s="61">
        <f>szkoły!C43</f>
        <v>0</v>
      </c>
      <c r="C162" s="105"/>
      <c r="D162" s="106">
        <f>IF(C162&gt;="",0,IF(C162&gt;12.75,0,IF(C162&lt;7.38,(200+(7.38-C162)*100),VLOOKUP(-C162,baza!$E$3:$F$202,2,1))))</f>
        <v>0</v>
      </c>
      <c r="E162" s="105"/>
      <c r="F162" s="106">
        <f>IF(E162&lt;8,0,IF(E162&gt;77,(200+(E162-77)*2),VLOOKUP(E162,baza!$H$3:$J$202,3,0)))</f>
        <v>0</v>
      </c>
      <c r="G162" s="107"/>
      <c r="H162" s="106">
        <f>IF(G162&lt;80,0,IF(G162&gt;179,200+(G162-179),VLOOKUP(G162,baza!$I:$J,2,0)))</f>
        <v>0</v>
      </c>
      <c r="I162" s="107"/>
      <c r="J162" s="106">
        <f>IF(I162&lt;210,0,IF(I162&gt;593,(200+(I162-593)*2),VLOOKUP(I162,baza!$B$3:$F$202,5,1)))</f>
        <v>0</v>
      </c>
      <c r="K162" s="108"/>
      <c r="L162" s="106">
        <f>IF(K162="",0,IF(K162&gt;(-1*baza!$D$3),0,IF(K162&lt;132.11,INT(200+(132.11-K162)*5),VLOOKUP(-K162,baza!$D$1:$F$203,3,1))))</f>
        <v>0</v>
      </c>
      <c r="M162" s="109">
        <f t="shared" ref="M162:M167" si="44">(D162+F162+H162+J162)</f>
        <v>0</v>
      </c>
      <c r="N162" s="110">
        <f t="shared" ref="N162:N167" si="45">M162+L162</f>
        <v>0</v>
      </c>
      <c r="O162" s="14"/>
      <c r="P162" s="9"/>
    </row>
    <row r="163" spans="1:16" ht="18" thickTop="1" thickBot="1">
      <c r="A163" s="29" t="str">
        <f>O166 &amp; "  " &amp; "I DZIEŃ"</f>
        <v>0  I DZIEŃ</v>
      </c>
      <c r="B163" s="61">
        <f>szkoły!C44</f>
        <v>0</v>
      </c>
      <c r="C163" s="105"/>
      <c r="D163" s="106">
        <f>IF(C163&gt;="",0,IF(C163&gt;12.75,0,IF(C163&lt;7.38,(200+(7.38-C163)*100),VLOOKUP(-C163,baza!$E$3:$F$202,2,1))))</f>
        <v>0</v>
      </c>
      <c r="E163" s="105"/>
      <c r="F163" s="106">
        <f>IF(E163&lt;8,0,IF(E163&gt;77,(200+(E163-77)*2),VLOOKUP(E163,baza!$H$3:$J$202,3,0)))</f>
        <v>0</v>
      </c>
      <c r="G163" s="107"/>
      <c r="H163" s="106">
        <f>IF(G163&lt;80,0,IF(G163&gt;179,200+(G163-179),VLOOKUP(G163,baza!$I:$J,2,0)))</f>
        <v>0</v>
      </c>
      <c r="I163" s="107"/>
      <c r="J163" s="106">
        <f>IF(I163&lt;210,0,IF(I163&gt;593,(200+(I163-593)*2),VLOOKUP(I163,baza!$B$3:$F$202,5,1)))</f>
        <v>0</v>
      </c>
      <c r="K163" s="108"/>
      <c r="L163" s="106">
        <f>IF(K163="",0,IF(K163&gt;(-1*baza!$D$3),0,IF(K163&lt;132.11,INT(200+(132.11-K163)*5),VLOOKUP(-K163,baza!$D$1:$F$203,3,1))))</f>
        <v>0</v>
      </c>
      <c r="M163" s="109">
        <f t="shared" si="44"/>
        <v>0</v>
      </c>
      <c r="N163" s="110">
        <f t="shared" si="45"/>
        <v>0</v>
      </c>
      <c r="O163" s="14"/>
      <c r="P163" s="9"/>
    </row>
    <row r="164" spans="1:16" ht="18" thickTop="1" thickBot="1">
      <c r="A164" s="29" t="str">
        <f>O167 &amp; "  " &amp; "II DZIEŃ"</f>
        <v>0  II DZIEŃ</v>
      </c>
      <c r="B164" s="61">
        <f>szkoły!C45</f>
        <v>0</v>
      </c>
      <c r="C164" s="105"/>
      <c r="D164" s="106">
        <f>IF(C164&gt;="",0,IF(C164&gt;12.75,0,IF(C164&lt;7.38,(200+(7.38-C164)*100),VLOOKUP(-C164,baza!$E$3:$F$202,2,1))))</f>
        <v>0</v>
      </c>
      <c r="E164" s="105"/>
      <c r="F164" s="106">
        <f>IF(E164&lt;8,0,IF(E164&gt;77,(200+(E164-77)*2),VLOOKUP(E164,baza!$H$3:$J$202,3,0)))</f>
        <v>0</v>
      </c>
      <c r="G164" s="107"/>
      <c r="H164" s="106">
        <f>IF(G164&lt;80,0,IF(G164&gt;179,200+(G164-179),VLOOKUP(G164,baza!$I:$J,2,0)))</f>
        <v>0</v>
      </c>
      <c r="I164" s="107"/>
      <c r="J164" s="106">
        <f>IF(I164&lt;210,0,IF(I164&gt;593,(200+(I164-593)*2),VLOOKUP(I164,baza!$B$3:$F$202,5,1)))</f>
        <v>0</v>
      </c>
      <c r="K164" s="108"/>
      <c r="L164" s="106">
        <f>IF(K164="",0,IF(K164&gt;(-1*baza!$D$3),0,IF(K164&lt;132.11,INT(200+(132.11-K164)*5),VLOOKUP(-K164,baza!$D$1:$F$203,3,1))))</f>
        <v>0</v>
      </c>
      <c r="M164" s="109">
        <f t="shared" si="44"/>
        <v>0</v>
      </c>
      <c r="N164" s="110">
        <f t="shared" si="45"/>
        <v>0</v>
      </c>
      <c r="O164" s="14"/>
      <c r="P164" s="9"/>
    </row>
    <row r="165" spans="1:16" ht="18" thickTop="1" thickBot="1">
      <c r="A165" s="7"/>
      <c r="B165" s="61">
        <f>szkoły!C46</f>
        <v>0</v>
      </c>
      <c r="C165" s="105"/>
      <c r="D165" s="106">
        <f>IF(C165&gt;="",0,IF(C165&gt;12.75,0,IF(C165&lt;7.38,(200+(7.38-C165)*100),VLOOKUP(-C165,baza!$E$3:$F$202,2,1))))</f>
        <v>0</v>
      </c>
      <c r="E165" s="105"/>
      <c r="F165" s="106">
        <f>IF(E165&lt;8,0,IF(E165&gt;77,(200+(E165-77)*2),VLOOKUP(E165,baza!$H$3:$J$202,3,0)))</f>
        <v>0</v>
      </c>
      <c r="G165" s="107"/>
      <c r="H165" s="106">
        <f>IF(G165&lt;80,0,IF(G165&gt;179,200+(G165-179),VLOOKUP(G165,baza!$I:$J,2,0)))</f>
        <v>0</v>
      </c>
      <c r="I165" s="107"/>
      <c r="J165" s="106">
        <f>IF(I165&lt;210,0,IF(I165&gt;593,(200+(I165-593)*2),VLOOKUP(I165,baza!$B$3:$F$202,5,1)))</f>
        <v>0</v>
      </c>
      <c r="K165" s="108"/>
      <c r="L165" s="106">
        <f>IF(K165="",0,IF(K165&gt;(-1*baza!$D$3),0,IF(K165&lt;132.11,INT(200+(132.11-K165)*5),VLOOKUP(-K165,baza!$D$1:$F$203,3,1))))</f>
        <v>0</v>
      </c>
      <c r="M165" s="109">
        <f t="shared" si="44"/>
        <v>0</v>
      </c>
      <c r="N165" s="110">
        <f t="shared" si="45"/>
        <v>0</v>
      </c>
      <c r="O165" s="14"/>
      <c r="P165" s="9"/>
    </row>
    <row r="166" spans="1:16" ht="18" thickTop="1" thickBot="1">
      <c r="A166" s="7"/>
      <c r="B166" s="61">
        <f>szkoły!C47</f>
        <v>0</v>
      </c>
      <c r="C166" s="105"/>
      <c r="D166" s="106">
        <f>IF(C166&gt;="",0,IF(C166&gt;12.75,0,IF(C166&lt;7.38,(200+(7.38-C166)*100),VLOOKUP(-C166,baza!$E$3:$F$202,2,1))))</f>
        <v>0</v>
      </c>
      <c r="E166" s="105"/>
      <c r="F166" s="106">
        <f>IF(E166&lt;8,0,IF(E166&gt;77,(200+(E166-77)*2),VLOOKUP(E166,baza!$H$3:$J$202,3,0)))</f>
        <v>0</v>
      </c>
      <c r="G166" s="107"/>
      <c r="H166" s="106">
        <f>IF(G166&lt;80,0,IF(G166&gt;179,200+(G166-179),VLOOKUP(G166,baza!$I:$J,2,0)))</f>
        <v>0</v>
      </c>
      <c r="I166" s="107"/>
      <c r="J166" s="106">
        <f>IF(I166&lt;210,0,IF(I166&gt;593,(200+(I166-593)*2),VLOOKUP(I166,baza!$B$3:$F$202,5,1)))</f>
        <v>0</v>
      </c>
      <c r="K166" s="108"/>
      <c r="L166" s="106">
        <f>IF(K166="",0,IF(K166&gt;(-1*baza!$D$3),0,IF(K166&lt;132.11,INT(200+(132.11-K166)*5),VLOOKUP(-K166,baza!$D$1:$F$203,3,1))))</f>
        <v>0</v>
      </c>
      <c r="M166" s="109">
        <f t="shared" si="44"/>
        <v>0</v>
      </c>
      <c r="N166" s="110">
        <f t="shared" si="45"/>
        <v>0</v>
      </c>
      <c r="O166" s="15">
        <f>SUM(M162:M167)</f>
        <v>0</v>
      </c>
      <c r="P166" s="8" t="s">
        <v>1716</v>
      </c>
    </row>
    <row r="167" spans="1:16" ht="18" thickTop="1" thickBot="1">
      <c r="A167" s="7"/>
      <c r="B167" s="61">
        <f>szkoły!C48</f>
        <v>0</v>
      </c>
      <c r="C167" s="105"/>
      <c r="D167" s="106">
        <f>IF(C167&gt;="",0,IF(C167&gt;12.75,0,IF(C167&lt;7.38,(200+(7.38-C167)*100),VLOOKUP(-C167,baza!$E$3:$F$202,2,1))))</f>
        <v>0</v>
      </c>
      <c r="E167" s="105"/>
      <c r="F167" s="106">
        <f>IF(E167&lt;8,0,IF(E167&gt;77,(200+(E167-77)*2),VLOOKUP(E167,baza!$H$3:$J$202,3,0)))</f>
        <v>0</v>
      </c>
      <c r="G167" s="107"/>
      <c r="H167" s="106">
        <f>IF(G167&lt;80,0,IF(G167&gt;179,200+(G167-179),VLOOKUP(G167,baza!$I:$J,2,0)))</f>
        <v>0</v>
      </c>
      <c r="I167" s="107"/>
      <c r="J167" s="106">
        <f>IF(I167&lt;210,0,IF(I167&gt;593,(200+(I167-593)*2),VLOOKUP(I167,baza!$B$3:$F$202,5,1)))</f>
        <v>0</v>
      </c>
      <c r="K167" s="108"/>
      <c r="L167" s="106">
        <f>IF(K167="",0,IF(K167&gt;(-1*baza!$D$3),0,IF(K167&lt;132.11,INT(200+(132.11-K167)*5),VLOOKUP(-K167,baza!$D$1:$F$203,3,1))))</f>
        <v>0</v>
      </c>
      <c r="M167" s="109">
        <f t="shared" si="44"/>
        <v>0</v>
      </c>
      <c r="N167" s="110">
        <f t="shared" si="45"/>
        <v>0</v>
      </c>
      <c r="O167" s="15">
        <f>IF(COUNT(N162:N167)&lt;6,SUM(N162:N167),SUM(N162:N167)-MIN(N162:N167))</f>
        <v>0</v>
      </c>
      <c r="P167" s="8" t="s">
        <v>1718</v>
      </c>
    </row>
    <row r="168" spans="1:16" ht="16.5" thickTop="1" thickBot="1">
      <c r="A168" s="13">
        <f>szkoły!D42</f>
        <v>0</v>
      </c>
      <c r="B168" s="60" t="s">
        <v>1713</v>
      </c>
      <c r="C168" s="21" t="s">
        <v>1710</v>
      </c>
      <c r="D168" s="21" t="s">
        <v>1714</v>
      </c>
      <c r="E168" s="24" t="s">
        <v>1715</v>
      </c>
      <c r="F168" s="21" t="s">
        <v>1714</v>
      </c>
      <c r="G168" s="23" t="s">
        <v>1712</v>
      </c>
      <c r="H168" s="21" t="s">
        <v>1714</v>
      </c>
      <c r="I168" s="23" t="s">
        <v>1708</v>
      </c>
      <c r="J168" s="21" t="s">
        <v>1714</v>
      </c>
      <c r="K168" s="25" t="s">
        <v>1724</v>
      </c>
      <c r="L168" s="21" t="s">
        <v>1714</v>
      </c>
      <c r="M168" s="22" t="s">
        <v>1716</v>
      </c>
      <c r="N168" s="22" t="s">
        <v>1717</v>
      </c>
      <c r="O168" s="14"/>
      <c r="P168" s="9"/>
    </row>
    <row r="169" spans="1:16" ht="18" thickTop="1" thickBot="1">
      <c r="A169" s="10"/>
      <c r="B169" s="61">
        <f>szkoły!D43</f>
        <v>0</v>
      </c>
      <c r="C169" s="105"/>
      <c r="D169" s="106">
        <f>IF(C169&gt;="",0,IF(C169&gt;12.75,0,IF(C169&lt;7.38,(200+(7.38-C169)*100),VLOOKUP(-C169,baza!$E$3:$F$202,2,1))))</f>
        <v>0</v>
      </c>
      <c r="E169" s="105"/>
      <c r="F169" s="106">
        <f>IF(E169&lt;8,0,IF(E169&gt;77,(200+(E169-77)*2),VLOOKUP(E169,baza!$H$3:$J$202,3,0)))</f>
        <v>0</v>
      </c>
      <c r="G169" s="107"/>
      <c r="H169" s="106">
        <f>IF(G169&lt;80,0,IF(G169&gt;179,200+(G169-179),VLOOKUP(G169,baza!$I:$J,2,0)))</f>
        <v>0</v>
      </c>
      <c r="I169" s="107"/>
      <c r="J169" s="106">
        <f>IF(I169&lt;210,0,IF(I169&gt;593,(200+(I169-593)*2),VLOOKUP(I169,baza!$B$3:$F$202,5,1)))</f>
        <v>0</v>
      </c>
      <c r="K169" s="108"/>
      <c r="L169" s="106">
        <f>IF(K169="",0,IF(K169&gt;(-1*baza!$D$3),0,IF(K169&lt;132.11,INT(200+(132.11-K169)*5),VLOOKUP(-K169,baza!$D$1:$F$203,3,1))))</f>
        <v>0</v>
      </c>
      <c r="M169" s="109">
        <f t="shared" ref="M169:M174" si="46">(D169+F169+H169+J169)</f>
        <v>0</v>
      </c>
      <c r="N169" s="110">
        <f t="shared" ref="N169:N174" si="47">M169+L169</f>
        <v>0</v>
      </c>
      <c r="O169" s="14"/>
      <c r="P169" s="9"/>
    </row>
    <row r="170" spans="1:16" ht="18" thickTop="1" thickBot="1">
      <c r="A170" s="29" t="str">
        <f>O173 &amp; "  " &amp; "I DZIEŃ"</f>
        <v>0  I DZIEŃ</v>
      </c>
      <c r="B170" s="61">
        <f>szkoły!D44</f>
        <v>0</v>
      </c>
      <c r="C170" s="105"/>
      <c r="D170" s="106">
        <f>IF(C170&gt;="",0,IF(C170&gt;12.75,0,IF(C170&lt;7.38,(200+(7.38-C170)*100),VLOOKUP(-C170,baza!$E$3:$F$202,2,1))))</f>
        <v>0</v>
      </c>
      <c r="E170" s="105"/>
      <c r="F170" s="106">
        <f>IF(E170&lt;8,0,IF(E170&gt;77,(200+(E170-77)*2),VLOOKUP(E170,baza!$H$3:$J$202,3,0)))</f>
        <v>0</v>
      </c>
      <c r="G170" s="107"/>
      <c r="H170" s="106">
        <f>IF(G170&lt;80,0,IF(G170&gt;179,200+(G170-179),VLOOKUP(G170,baza!$I:$J,2,0)))</f>
        <v>0</v>
      </c>
      <c r="I170" s="107"/>
      <c r="J170" s="106">
        <f>IF(I170&lt;210,0,IF(I170&gt;593,(200+(I170-593)*2),VLOOKUP(I170,baza!$B$3:$F$202,5,1)))</f>
        <v>0</v>
      </c>
      <c r="K170" s="108"/>
      <c r="L170" s="106">
        <f>IF(K170="",0,IF(K170&gt;(-1*baza!$D$3),0,IF(K170&lt;132.11,INT(200+(132.11-K170)*5),VLOOKUP(-K170,baza!$D$1:$F$203,3,1))))</f>
        <v>0</v>
      </c>
      <c r="M170" s="109">
        <f t="shared" si="46"/>
        <v>0</v>
      </c>
      <c r="N170" s="110">
        <f t="shared" si="47"/>
        <v>0</v>
      </c>
      <c r="O170" s="14"/>
      <c r="P170" s="9"/>
    </row>
    <row r="171" spans="1:16" ht="18" thickTop="1" thickBot="1">
      <c r="A171" s="29" t="str">
        <f>O174 &amp; "  " &amp; "II DZIEŃ"</f>
        <v>0  II DZIEŃ</v>
      </c>
      <c r="B171" s="61">
        <f>szkoły!D45</f>
        <v>0</v>
      </c>
      <c r="C171" s="105"/>
      <c r="D171" s="106">
        <f>IF(C171&gt;="",0,IF(C171&gt;12.75,0,IF(C171&lt;7.38,(200+(7.38-C171)*100),VLOOKUP(-C171,baza!$E$3:$F$202,2,1))))</f>
        <v>0</v>
      </c>
      <c r="E171" s="105"/>
      <c r="F171" s="106">
        <f>IF(E171&lt;8,0,IF(E171&gt;77,(200+(E171-77)*2),VLOOKUP(E171,baza!$H$3:$J$202,3,0)))</f>
        <v>0</v>
      </c>
      <c r="G171" s="107"/>
      <c r="H171" s="106">
        <f>IF(G171&lt;80,0,IF(G171&gt;179,200+(G171-179),VLOOKUP(G171,baza!$I:$J,2,0)))</f>
        <v>0</v>
      </c>
      <c r="I171" s="107"/>
      <c r="J171" s="106">
        <f>IF(I171&lt;210,0,IF(I171&gt;593,(200+(I171-593)*2),VLOOKUP(I171,baza!$B$3:$F$202,5,1)))</f>
        <v>0</v>
      </c>
      <c r="K171" s="108"/>
      <c r="L171" s="106">
        <f>IF(K171="",0,IF(K171&gt;(-1*baza!$D$3),0,IF(K171&lt;132.11,INT(200+(132.11-K171)*5),VLOOKUP(-K171,baza!$D$1:$F$203,3,1))))</f>
        <v>0</v>
      </c>
      <c r="M171" s="109">
        <f t="shared" si="46"/>
        <v>0</v>
      </c>
      <c r="N171" s="110">
        <f t="shared" si="47"/>
        <v>0</v>
      </c>
      <c r="O171" s="14"/>
      <c r="P171" s="9"/>
    </row>
    <row r="172" spans="1:16" ht="18" thickTop="1" thickBot="1">
      <c r="A172" s="10"/>
      <c r="B172" s="61">
        <f>szkoły!D46</f>
        <v>0</v>
      </c>
      <c r="C172" s="105"/>
      <c r="D172" s="106">
        <f>IF(C172&gt;="",0,IF(C172&gt;12.75,0,IF(C172&lt;7.38,(200+(7.38-C172)*100),VLOOKUP(-C172,baza!$E$3:$F$202,2,1))))</f>
        <v>0</v>
      </c>
      <c r="E172" s="105"/>
      <c r="F172" s="106">
        <f>IF(E172&lt;8,0,IF(E172&gt;77,(200+(E172-77)*2),VLOOKUP(E172,baza!$H$3:$J$202,3,0)))</f>
        <v>0</v>
      </c>
      <c r="G172" s="107"/>
      <c r="H172" s="106">
        <f>IF(G172&lt;80,0,IF(G172&gt;179,200+(G172-179),VLOOKUP(G172,baza!$I:$J,2,0)))</f>
        <v>0</v>
      </c>
      <c r="I172" s="107"/>
      <c r="J172" s="106">
        <f>IF(I172&lt;210,0,IF(I172&gt;593,(200+(I172-593)*2),VLOOKUP(I172,baza!$B$3:$F$202,5,1)))</f>
        <v>0</v>
      </c>
      <c r="K172" s="108"/>
      <c r="L172" s="106">
        <f>IF(K172="",0,IF(K172&gt;(-1*baza!$D$3),0,IF(K172&lt;132.11,INT(200+(132.11-K172)*5),VLOOKUP(-K172,baza!$D$1:$F$203,3,1))))</f>
        <v>0</v>
      </c>
      <c r="M172" s="109">
        <f t="shared" si="46"/>
        <v>0</v>
      </c>
      <c r="N172" s="110">
        <f t="shared" si="47"/>
        <v>0</v>
      </c>
      <c r="O172" s="14"/>
      <c r="P172" s="9"/>
    </row>
    <row r="173" spans="1:16" ht="18" thickTop="1" thickBot="1">
      <c r="A173" s="10"/>
      <c r="B173" s="61">
        <f>szkoły!D47</f>
        <v>0</v>
      </c>
      <c r="C173" s="105"/>
      <c r="D173" s="106">
        <f>IF(C173&gt;="",0,IF(C173&gt;12.75,0,IF(C173&lt;7.38,(200+(7.38-C173)*100),VLOOKUP(-C173,baza!$E$3:$F$202,2,1))))</f>
        <v>0</v>
      </c>
      <c r="E173" s="105"/>
      <c r="F173" s="106">
        <f>IF(E173&lt;8,0,IF(E173&gt;77,(200+(E173-77)*2),VLOOKUP(E173,baza!$H$3:$J$202,3,0)))</f>
        <v>0</v>
      </c>
      <c r="G173" s="107"/>
      <c r="H173" s="106">
        <f>IF(G173&lt;80,0,IF(G173&gt;179,200+(G173-179),VLOOKUP(G173,baza!$I:$J,2,0)))</f>
        <v>0</v>
      </c>
      <c r="I173" s="107"/>
      <c r="J173" s="106">
        <f>IF(I173&lt;210,0,IF(I173&gt;593,(200+(I173-593)*2),VLOOKUP(I173,baza!$B$3:$F$202,5,1)))</f>
        <v>0</v>
      </c>
      <c r="K173" s="108"/>
      <c r="L173" s="106">
        <f>IF(K173="",0,IF(K173&gt;(-1*baza!$D$3),0,IF(K173&lt;132.11,INT(200+(132.11-K173)*5),VLOOKUP(-K173,baza!$D$1:$F$203,3,1))))</f>
        <v>0</v>
      </c>
      <c r="M173" s="109">
        <f t="shared" si="46"/>
        <v>0</v>
      </c>
      <c r="N173" s="110">
        <f t="shared" si="47"/>
        <v>0</v>
      </c>
      <c r="O173" s="15">
        <f>SUM(M169:M174)</f>
        <v>0</v>
      </c>
      <c r="P173" s="8" t="s">
        <v>1716</v>
      </c>
    </row>
    <row r="174" spans="1:16" ht="18" thickTop="1" thickBot="1">
      <c r="A174" s="10"/>
      <c r="B174" s="61">
        <f>szkoły!D48</f>
        <v>0</v>
      </c>
      <c r="C174" s="105"/>
      <c r="D174" s="106">
        <f>IF(C174&gt;="",0,IF(C174&gt;12.75,0,IF(C174&lt;7.38,(200+(7.38-C174)*100),VLOOKUP(-C174,baza!$E$3:$F$202,2,1))))</f>
        <v>0</v>
      </c>
      <c r="E174" s="105"/>
      <c r="F174" s="106">
        <f>IF(E174&lt;8,0,IF(E174&gt;77,(200+(E174-77)*2),VLOOKUP(E174,baza!$H$3:$J$202,3,0)))</f>
        <v>0</v>
      </c>
      <c r="G174" s="107"/>
      <c r="H174" s="106">
        <f>IF(G174&lt;80,0,IF(G174&gt;179,200+(G174-179),VLOOKUP(G174,baza!$I:$J,2,0)))</f>
        <v>0</v>
      </c>
      <c r="I174" s="107"/>
      <c r="J174" s="106">
        <f>IF(I174&lt;210,0,IF(I174&gt;593,(200+(I174-593)*2),VLOOKUP(I174,baza!$B$3:$F$202,5,1)))</f>
        <v>0</v>
      </c>
      <c r="K174" s="108"/>
      <c r="L174" s="106">
        <f>IF(K174="",0,IF(K174&gt;(-1*baza!$D$3),0,IF(K174&lt;132.11,INT(200+(132.11-K174)*5),VLOOKUP(-K174,baza!$D$1:$F$203,3,1))))</f>
        <v>0</v>
      </c>
      <c r="M174" s="109">
        <f t="shared" si="46"/>
        <v>0</v>
      </c>
      <c r="N174" s="110">
        <f t="shared" si="47"/>
        <v>0</v>
      </c>
      <c r="O174" s="15">
        <f>IF(COUNT(N169:N174)&lt;6,SUM(N169:N174),SUM(N169:N174)-MIN(N169:N174))</f>
        <v>0</v>
      </c>
      <c r="P174" s="8" t="s">
        <v>1718</v>
      </c>
    </row>
    <row r="175" spans="1:16" ht="16.5" thickTop="1" thickBot="1">
      <c r="A175" s="13">
        <f>szkoły!A50</f>
        <v>0</v>
      </c>
      <c r="B175" s="60" t="s">
        <v>1713</v>
      </c>
      <c r="C175" s="21" t="s">
        <v>1710</v>
      </c>
      <c r="D175" s="21" t="s">
        <v>1714</v>
      </c>
      <c r="E175" s="24" t="s">
        <v>1715</v>
      </c>
      <c r="F175" s="21" t="s">
        <v>1714</v>
      </c>
      <c r="G175" s="23" t="s">
        <v>1712</v>
      </c>
      <c r="H175" s="21" t="s">
        <v>1714</v>
      </c>
      <c r="I175" s="23" t="s">
        <v>1708</v>
      </c>
      <c r="J175" s="21" t="s">
        <v>1714</v>
      </c>
      <c r="K175" s="25" t="s">
        <v>1724</v>
      </c>
      <c r="L175" s="21" t="s">
        <v>1714</v>
      </c>
      <c r="M175" s="22" t="s">
        <v>1716</v>
      </c>
      <c r="N175" s="22" t="s">
        <v>1717</v>
      </c>
      <c r="O175" s="14"/>
      <c r="P175" s="9"/>
    </row>
    <row r="176" spans="1:16" ht="18" thickTop="1" thickBot="1">
      <c r="A176" s="7"/>
      <c r="B176" s="61">
        <f>szkoły!A51</f>
        <v>0</v>
      </c>
      <c r="C176" s="105"/>
      <c r="D176" s="106">
        <f>IF(C176&gt;="",0,IF(C176&gt;12.75,0,IF(C176&lt;7.38,(200+(7.38-C176)*100),VLOOKUP(-C176,baza!$E$3:$F$202,2,1))))</f>
        <v>0</v>
      </c>
      <c r="E176" s="105"/>
      <c r="F176" s="106">
        <f>IF(E176&lt;8,0,IF(E176&gt;77,(200+(E176-77)*2),VLOOKUP(E176,baza!$H$3:$J$202,3,0)))</f>
        <v>0</v>
      </c>
      <c r="G176" s="107"/>
      <c r="H176" s="106">
        <f>IF(G176&lt;80,0,IF(G176&gt;179,200+(G176-179),VLOOKUP(G176,baza!$I:$J,2,0)))</f>
        <v>0</v>
      </c>
      <c r="I176" s="107"/>
      <c r="J176" s="106">
        <f>IF(I176&lt;210,0,IF(I176&gt;593,(200+(I176-593)*2),VLOOKUP(I176,baza!$B$3:$F$202,5,1)))</f>
        <v>0</v>
      </c>
      <c r="K176" s="108"/>
      <c r="L176" s="106">
        <f>IF(K176="",0,IF(K176&gt;(-1*baza!$D$3),0,IF(K176&lt;132.11,INT(200+(132.11-K176)*5),VLOOKUP(-K176,baza!$D$1:$F$203,3,1))))</f>
        <v>0</v>
      </c>
      <c r="M176" s="109">
        <f t="shared" ref="M176:M181" si="48">(D176+F176+H176+J176)</f>
        <v>0</v>
      </c>
      <c r="N176" s="110">
        <f t="shared" ref="N176:N181" si="49">M176+L176</f>
        <v>0</v>
      </c>
      <c r="O176" s="14"/>
      <c r="P176" s="9"/>
    </row>
    <row r="177" spans="1:16" ht="18" thickTop="1" thickBot="1">
      <c r="A177" s="29" t="str">
        <f>O180 &amp; "  " &amp; "I DZIEŃ"</f>
        <v>0  I DZIEŃ</v>
      </c>
      <c r="B177" s="61">
        <f>szkoły!A52</f>
        <v>0</v>
      </c>
      <c r="C177" s="105"/>
      <c r="D177" s="106">
        <f>IF(C177&gt;="",0,IF(C177&gt;12.75,0,IF(C177&lt;7.38,(200+(7.38-C177)*100),VLOOKUP(-C177,baza!$E$3:$F$202,2,1))))</f>
        <v>0</v>
      </c>
      <c r="E177" s="105"/>
      <c r="F177" s="106">
        <f>IF(E177&lt;8,0,IF(E177&gt;77,(200+(E177-77)*2),VLOOKUP(E177,baza!$H$3:$J$202,3,0)))</f>
        <v>0</v>
      </c>
      <c r="G177" s="107"/>
      <c r="H177" s="106">
        <f>IF(G177&lt;80,0,IF(G177&gt;179,200+(G177-179),VLOOKUP(G177,baza!$I:$J,2,0)))</f>
        <v>0</v>
      </c>
      <c r="I177" s="107"/>
      <c r="J177" s="106">
        <f>IF(I177&lt;210,0,IF(I177&gt;593,(200+(I177-593)*2),VLOOKUP(I177,baza!$B$3:$F$202,5,1)))</f>
        <v>0</v>
      </c>
      <c r="K177" s="108"/>
      <c r="L177" s="106">
        <f>IF(K177="",0,IF(K177&gt;(-1*baza!$D$3),0,IF(K177&lt;132.11,INT(200+(132.11-K177)*5),VLOOKUP(-K177,baza!$D$1:$F$203,3,1))))</f>
        <v>0</v>
      </c>
      <c r="M177" s="109">
        <f t="shared" si="48"/>
        <v>0</v>
      </c>
      <c r="N177" s="110">
        <f t="shared" si="49"/>
        <v>0</v>
      </c>
      <c r="O177" s="14"/>
      <c r="P177" s="9"/>
    </row>
    <row r="178" spans="1:16" ht="18" thickTop="1" thickBot="1">
      <c r="A178" s="29" t="str">
        <f>O181 &amp; "  " &amp; "II DZIEŃ"</f>
        <v>0  II DZIEŃ</v>
      </c>
      <c r="B178" s="61">
        <f>szkoły!A53</f>
        <v>0</v>
      </c>
      <c r="C178" s="105"/>
      <c r="D178" s="106">
        <f>IF(C178&gt;="",0,IF(C178&gt;12.75,0,IF(C178&lt;7.38,(200+(7.38-C178)*100),VLOOKUP(-C178,baza!$E$3:$F$202,2,1))))</f>
        <v>0</v>
      </c>
      <c r="E178" s="105"/>
      <c r="F178" s="106">
        <f>IF(E178&lt;8,0,IF(E178&gt;77,(200+(E178-77)*2),VLOOKUP(E178,baza!$H$3:$J$202,3,0)))</f>
        <v>0</v>
      </c>
      <c r="G178" s="107"/>
      <c r="H178" s="106">
        <f>IF(G178&lt;80,0,IF(G178&gt;179,200+(G178-179),VLOOKUP(G178,baza!$I:$J,2,0)))</f>
        <v>0</v>
      </c>
      <c r="I178" s="107"/>
      <c r="J178" s="106">
        <f>IF(I178&lt;210,0,IF(I178&gt;593,(200+(I178-593)*2),VLOOKUP(I178,baza!$B$3:$F$202,5,1)))</f>
        <v>0</v>
      </c>
      <c r="K178" s="108"/>
      <c r="L178" s="106">
        <f>IF(K178="",0,IF(K178&gt;(-1*baza!$D$3),0,IF(K178&lt;132.11,INT(200+(132.11-K178)*5),VLOOKUP(-K178,baza!$D$1:$F$203,3,1))))</f>
        <v>0</v>
      </c>
      <c r="M178" s="109">
        <f t="shared" si="48"/>
        <v>0</v>
      </c>
      <c r="N178" s="110">
        <f t="shared" si="49"/>
        <v>0</v>
      </c>
      <c r="O178" s="14"/>
      <c r="P178" s="9"/>
    </row>
    <row r="179" spans="1:16" ht="18" thickTop="1" thickBot="1">
      <c r="A179" s="7"/>
      <c r="B179" s="61">
        <f>szkoły!A54</f>
        <v>0</v>
      </c>
      <c r="C179" s="105"/>
      <c r="D179" s="106">
        <f>IF(C179&gt;="",0,IF(C179&gt;12.75,0,IF(C179&lt;7.38,(200+(7.38-C179)*100),VLOOKUP(-C179,baza!$E$3:$F$202,2,1))))</f>
        <v>0</v>
      </c>
      <c r="E179" s="105"/>
      <c r="F179" s="106">
        <f>IF(E179&lt;8,0,IF(E179&gt;77,(200+(E179-77)*2),VLOOKUP(E179,baza!$H$3:$J$202,3,0)))</f>
        <v>0</v>
      </c>
      <c r="G179" s="107"/>
      <c r="H179" s="106">
        <f>IF(G179&lt;80,0,IF(G179&gt;179,200+(G179-179),VLOOKUP(G179,baza!$I:$J,2,0)))</f>
        <v>0</v>
      </c>
      <c r="I179" s="107"/>
      <c r="J179" s="106">
        <f>IF(I179&lt;210,0,IF(I179&gt;593,(200+(I179-593)*2),VLOOKUP(I179,baza!$B$3:$F$202,5,1)))</f>
        <v>0</v>
      </c>
      <c r="K179" s="108"/>
      <c r="L179" s="106">
        <f>IF(K179="",0,IF(K179&gt;(-1*baza!$D$3),0,IF(K179&lt;132.11,INT(200+(132.11-K179)*5),VLOOKUP(-K179,baza!$D$1:$F$203,3,1))))</f>
        <v>0</v>
      </c>
      <c r="M179" s="109">
        <f t="shared" si="48"/>
        <v>0</v>
      </c>
      <c r="N179" s="110">
        <f t="shared" si="49"/>
        <v>0</v>
      </c>
      <c r="O179" s="14"/>
      <c r="P179" s="9"/>
    </row>
    <row r="180" spans="1:16" ht="18" thickTop="1" thickBot="1">
      <c r="A180" s="7"/>
      <c r="B180" s="61">
        <f>szkoły!A55</f>
        <v>0</v>
      </c>
      <c r="C180" s="105"/>
      <c r="D180" s="106">
        <f>IF(C180&gt;="",0,IF(C180&gt;12.75,0,IF(C180&lt;7.38,(200+(7.38-C180)*100),VLOOKUP(-C180,baza!$E$3:$F$202,2,1))))</f>
        <v>0</v>
      </c>
      <c r="E180" s="105"/>
      <c r="F180" s="106">
        <f>IF(E180&lt;8,0,IF(E180&gt;77,(200+(E180-77)*2),VLOOKUP(E180,baza!$H$3:$J$202,3,0)))</f>
        <v>0</v>
      </c>
      <c r="G180" s="107"/>
      <c r="H180" s="106">
        <f>IF(G180&lt;80,0,IF(G180&gt;179,200+(G180-179),VLOOKUP(G180,baza!$I:$J,2,0)))</f>
        <v>0</v>
      </c>
      <c r="I180" s="107"/>
      <c r="J180" s="106">
        <f>IF(I180&lt;210,0,IF(I180&gt;593,(200+(I180-593)*2),VLOOKUP(I180,baza!$B$3:$F$202,5,1)))</f>
        <v>0</v>
      </c>
      <c r="K180" s="108"/>
      <c r="L180" s="106">
        <f>IF(K180="",0,IF(K180&gt;(-1*baza!$D$3),0,IF(K180&lt;132.11,INT(200+(132.11-K180)*5),VLOOKUP(-K180,baza!$D$1:$F$203,3,1))))</f>
        <v>0</v>
      </c>
      <c r="M180" s="109">
        <f t="shared" si="48"/>
        <v>0</v>
      </c>
      <c r="N180" s="110">
        <f t="shared" si="49"/>
        <v>0</v>
      </c>
      <c r="O180" s="15">
        <f>SUM(M176:M181)</f>
        <v>0</v>
      </c>
      <c r="P180" s="8" t="s">
        <v>1716</v>
      </c>
    </row>
    <row r="181" spans="1:16" ht="18" thickTop="1" thickBot="1">
      <c r="A181" s="7"/>
      <c r="B181" s="61">
        <f>szkoły!A56</f>
        <v>0</v>
      </c>
      <c r="C181" s="105"/>
      <c r="D181" s="106">
        <f>IF(C181&gt;="",0,IF(C181&gt;12.75,0,IF(C181&lt;7.38,(200+(7.38-C181)*100),VLOOKUP(-C181,baza!$E$3:$F$202,2,1))))</f>
        <v>0</v>
      </c>
      <c r="E181" s="105"/>
      <c r="F181" s="106">
        <f>IF(E181&lt;8,0,IF(E181&gt;77,(200+(E181-77)*2),VLOOKUP(E181,baza!$H$3:$J$202,3,0)))</f>
        <v>0</v>
      </c>
      <c r="G181" s="107"/>
      <c r="H181" s="106">
        <f>IF(G181&lt;80,0,IF(G181&gt;179,200+(G181-179),VLOOKUP(G181,baza!$I:$J,2,0)))</f>
        <v>0</v>
      </c>
      <c r="I181" s="107"/>
      <c r="J181" s="106">
        <f>IF(I181&lt;210,0,IF(I181&gt;593,(200+(I181-593)*2),VLOOKUP(I181,baza!$B$3:$F$202,5,1)))</f>
        <v>0</v>
      </c>
      <c r="K181" s="108"/>
      <c r="L181" s="106">
        <f>IF(K181="",0,IF(K181&gt;(-1*baza!$D$3),0,IF(K181&lt;132.11,INT(200+(132.11-K181)*5),VLOOKUP(-K181,baza!$D$1:$F$203,3,1))))</f>
        <v>0</v>
      </c>
      <c r="M181" s="109">
        <f t="shared" si="48"/>
        <v>0</v>
      </c>
      <c r="N181" s="110">
        <f t="shared" si="49"/>
        <v>0</v>
      </c>
      <c r="O181" s="15">
        <f>IF(COUNT(N176:N181)&lt;6,SUM(N176:N181),SUM(N176:N181)-MIN(N176:N181))</f>
        <v>0</v>
      </c>
      <c r="P181" s="8" t="s">
        <v>1718</v>
      </c>
    </row>
    <row r="182" spans="1:16" ht="16.5" thickTop="1" thickBot="1">
      <c r="A182" s="13">
        <f>szkoły!B50</f>
        <v>0</v>
      </c>
      <c r="B182" s="60" t="s">
        <v>1713</v>
      </c>
      <c r="C182" s="21" t="s">
        <v>1710</v>
      </c>
      <c r="D182" s="21" t="s">
        <v>1714</v>
      </c>
      <c r="E182" s="24" t="s">
        <v>1715</v>
      </c>
      <c r="F182" s="21" t="s">
        <v>1714</v>
      </c>
      <c r="G182" s="23" t="s">
        <v>1712</v>
      </c>
      <c r="H182" s="21" t="s">
        <v>1714</v>
      </c>
      <c r="I182" s="23" t="s">
        <v>1708</v>
      </c>
      <c r="J182" s="21" t="s">
        <v>1714</v>
      </c>
      <c r="K182" s="25" t="s">
        <v>1724</v>
      </c>
      <c r="L182" s="21" t="s">
        <v>1714</v>
      </c>
      <c r="M182" s="22" t="s">
        <v>1716</v>
      </c>
      <c r="N182" s="22" t="s">
        <v>1717</v>
      </c>
      <c r="O182" s="14"/>
      <c r="P182" s="9"/>
    </row>
    <row r="183" spans="1:16" ht="18" thickTop="1" thickBot="1">
      <c r="A183" s="10"/>
      <c r="B183" s="61">
        <f>szkoły!B51</f>
        <v>0</v>
      </c>
      <c r="C183" s="105"/>
      <c r="D183" s="106">
        <f>IF(C183&gt;="",0,IF(C183&gt;12.75,0,IF(C183&lt;7.38,(200+(7.38-C183)*100),VLOOKUP(-C183,baza!$E$3:$F$202,2,1))))</f>
        <v>0</v>
      </c>
      <c r="E183" s="105"/>
      <c r="F183" s="106">
        <f>IF(E183&lt;8,0,IF(E183&gt;77,(200+(E183-77)*2),VLOOKUP(E183,baza!$H$3:$J$202,3,0)))</f>
        <v>0</v>
      </c>
      <c r="G183" s="107"/>
      <c r="H183" s="106">
        <f>IF(G183&lt;80,0,IF(G183&gt;179,200+(G183-179),VLOOKUP(G183,baza!$I:$J,2,0)))</f>
        <v>0</v>
      </c>
      <c r="I183" s="107"/>
      <c r="J183" s="106">
        <f>IF(I183&lt;210,0,IF(I183&gt;593,(200+(I183-593)*2),VLOOKUP(I183,baza!$B$3:$F$202,5,1)))</f>
        <v>0</v>
      </c>
      <c r="K183" s="108"/>
      <c r="L183" s="106">
        <f>IF(K183="",0,IF(K183&gt;(-1*baza!$D$3),0,IF(K183&lt;132.11,INT(200+(132.11-K183)*5),VLOOKUP(-K183,baza!$D$1:$F$203,3,1))))</f>
        <v>0</v>
      </c>
      <c r="M183" s="109">
        <f t="shared" ref="M183:M188" si="50">(D183+F183+H183+J183)</f>
        <v>0</v>
      </c>
      <c r="N183" s="110">
        <f t="shared" ref="N183:N188" si="51">M183+L183</f>
        <v>0</v>
      </c>
      <c r="O183" s="14"/>
      <c r="P183" s="9"/>
    </row>
    <row r="184" spans="1:16" ht="18" thickTop="1" thickBot="1">
      <c r="A184" s="29" t="str">
        <f>O187 &amp; "  " &amp; "I DZIEŃ"</f>
        <v>0  I DZIEŃ</v>
      </c>
      <c r="B184" s="61">
        <f>szkoły!B52</f>
        <v>0</v>
      </c>
      <c r="C184" s="105"/>
      <c r="D184" s="106">
        <f>IF(C184&gt;="",0,IF(C184&gt;12.75,0,IF(C184&lt;7.38,(200+(7.38-C184)*100),VLOOKUP(-C184,baza!$E$3:$F$202,2,1))))</f>
        <v>0</v>
      </c>
      <c r="E184" s="105"/>
      <c r="F184" s="106">
        <f>IF(E184&lt;8,0,IF(E184&gt;77,(200+(E184-77)*2),VLOOKUP(E184,baza!$H$3:$J$202,3,0)))</f>
        <v>0</v>
      </c>
      <c r="G184" s="107"/>
      <c r="H184" s="106">
        <f>IF(G184&lt;80,0,IF(G184&gt;179,200+(G184-179),VLOOKUP(G184,baza!$I:$J,2,0)))</f>
        <v>0</v>
      </c>
      <c r="I184" s="107"/>
      <c r="J184" s="106">
        <f>IF(I184&lt;210,0,IF(I184&gt;593,(200+(I184-593)*2),VLOOKUP(I184,baza!$B$3:$F$202,5,1)))</f>
        <v>0</v>
      </c>
      <c r="K184" s="108"/>
      <c r="L184" s="106">
        <f>IF(K184="",0,IF(K184&gt;(-1*baza!$D$3),0,IF(K184&lt;132.11,INT(200+(132.11-K184)*5),VLOOKUP(-K184,baza!$D$1:$F$203,3,1))))</f>
        <v>0</v>
      </c>
      <c r="M184" s="109">
        <f t="shared" si="50"/>
        <v>0</v>
      </c>
      <c r="N184" s="110">
        <f t="shared" si="51"/>
        <v>0</v>
      </c>
      <c r="O184" s="14"/>
      <c r="P184" s="9"/>
    </row>
    <row r="185" spans="1:16" ht="18" thickTop="1" thickBot="1">
      <c r="A185" s="29" t="str">
        <f>O188 &amp; "  " &amp; "II DZIEŃ"</f>
        <v>0  II DZIEŃ</v>
      </c>
      <c r="B185" s="61">
        <f>szkoły!B53</f>
        <v>0</v>
      </c>
      <c r="C185" s="105"/>
      <c r="D185" s="106">
        <f>IF(C185&gt;="",0,IF(C185&gt;12.75,0,IF(C185&lt;7.38,(200+(7.38-C185)*100),VLOOKUP(-C185,baza!$E$3:$F$202,2,1))))</f>
        <v>0</v>
      </c>
      <c r="E185" s="105"/>
      <c r="F185" s="106">
        <f>IF(E185&lt;8,0,IF(E185&gt;77,(200+(E185-77)*2),VLOOKUP(E185,baza!$H$3:$J$202,3,0)))</f>
        <v>0</v>
      </c>
      <c r="G185" s="107"/>
      <c r="H185" s="106">
        <f>IF(G185&lt;80,0,IF(G185&gt;179,200+(G185-179),VLOOKUP(G185,baza!$I:$J,2,0)))</f>
        <v>0</v>
      </c>
      <c r="I185" s="107"/>
      <c r="J185" s="106">
        <f>IF(I185&lt;210,0,IF(I185&gt;593,(200+(I185-593)*2),VLOOKUP(I185,baza!$B$3:$F$202,5,1)))</f>
        <v>0</v>
      </c>
      <c r="K185" s="108"/>
      <c r="L185" s="106">
        <f>IF(K185="",0,IF(K185&gt;(-1*baza!$D$3),0,IF(K185&lt;132.11,INT(200+(132.11-K185)*5),VLOOKUP(-K185,baza!$D$1:$F$203,3,1))))</f>
        <v>0</v>
      </c>
      <c r="M185" s="109">
        <f t="shared" si="50"/>
        <v>0</v>
      </c>
      <c r="N185" s="110">
        <f t="shared" si="51"/>
        <v>0</v>
      </c>
      <c r="O185" s="14"/>
      <c r="P185" s="9"/>
    </row>
    <row r="186" spans="1:16" ht="18" thickTop="1" thickBot="1">
      <c r="A186" s="10"/>
      <c r="B186" s="61">
        <f>szkoły!B54</f>
        <v>0</v>
      </c>
      <c r="C186" s="105"/>
      <c r="D186" s="106">
        <f>IF(C186&gt;="",0,IF(C186&gt;12.75,0,IF(C186&lt;7.38,(200+(7.38-C186)*100),VLOOKUP(-C186,baza!$E$3:$F$202,2,1))))</f>
        <v>0</v>
      </c>
      <c r="E186" s="105"/>
      <c r="F186" s="106">
        <f>IF(E186&lt;8,0,IF(E186&gt;77,(200+(E186-77)*2),VLOOKUP(E186,baza!$H$3:$J$202,3,0)))</f>
        <v>0</v>
      </c>
      <c r="G186" s="107"/>
      <c r="H186" s="106">
        <f>IF(G186&lt;80,0,IF(G186&gt;179,200+(G186-179),VLOOKUP(G186,baza!$I:$J,2,0)))</f>
        <v>0</v>
      </c>
      <c r="I186" s="107"/>
      <c r="J186" s="106">
        <f>IF(I186&lt;210,0,IF(I186&gt;593,(200+(I186-593)*2),VLOOKUP(I186,baza!$B$3:$F$202,5,1)))</f>
        <v>0</v>
      </c>
      <c r="K186" s="108"/>
      <c r="L186" s="106">
        <f>IF(K186="",0,IF(K186&gt;(-1*baza!$D$3),0,IF(K186&lt;132.11,INT(200+(132.11-K186)*5),VLOOKUP(-K186,baza!$D$1:$F$203,3,1))))</f>
        <v>0</v>
      </c>
      <c r="M186" s="109">
        <f t="shared" si="50"/>
        <v>0</v>
      </c>
      <c r="N186" s="110">
        <f t="shared" si="51"/>
        <v>0</v>
      </c>
      <c r="O186" s="14"/>
      <c r="P186" s="9"/>
    </row>
    <row r="187" spans="1:16" ht="18" thickTop="1" thickBot="1">
      <c r="A187" s="10"/>
      <c r="B187" s="61">
        <f>szkoły!B55</f>
        <v>0</v>
      </c>
      <c r="C187" s="105"/>
      <c r="D187" s="106">
        <f>IF(C187&gt;="",0,IF(C187&gt;12.75,0,IF(C187&lt;7.38,(200+(7.38-C187)*100),VLOOKUP(-C187,baza!$E$3:$F$202,2,1))))</f>
        <v>0</v>
      </c>
      <c r="E187" s="105"/>
      <c r="F187" s="106">
        <f>IF(E187&lt;8,0,IF(E187&gt;77,(200+(E187-77)*2),VLOOKUP(E187,baza!$H$3:$J$202,3,0)))</f>
        <v>0</v>
      </c>
      <c r="G187" s="107"/>
      <c r="H187" s="106">
        <f>IF(G187&lt;80,0,IF(G187&gt;179,200+(G187-179),VLOOKUP(G187,baza!$I:$J,2,0)))</f>
        <v>0</v>
      </c>
      <c r="I187" s="107"/>
      <c r="J187" s="106">
        <f>IF(I187&lt;210,0,IF(I187&gt;593,(200+(I187-593)*2),VLOOKUP(I187,baza!$B$3:$F$202,5,1)))</f>
        <v>0</v>
      </c>
      <c r="K187" s="108"/>
      <c r="L187" s="106">
        <f>IF(K187="",0,IF(K187&gt;(-1*baza!$D$3),0,IF(K187&lt;132.11,INT(200+(132.11-K187)*5),VLOOKUP(-K187,baza!$D$1:$F$203,3,1))))</f>
        <v>0</v>
      </c>
      <c r="M187" s="109">
        <f t="shared" si="50"/>
        <v>0</v>
      </c>
      <c r="N187" s="110">
        <f t="shared" si="51"/>
        <v>0</v>
      </c>
      <c r="O187" s="15">
        <f>SUM(M183:M188)</f>
        <v>0</v>
      </c>
      <c r="P187" s="8" t="s">
        <v>1716</v>
      </c>
    </row>
    <row r="188" spans="1:16" ht="18" thickTop="1" thickBot="1">
      <c r="A188" s="10"/>
      <c r="B188" s="61">
        <f>szkoły!B56</f>
        <v>0</v>
      </c>
      <c r="C188" s="105"/>
      <c r="D188" s="106">
        <f>IF(C188&gt;="",0,IF(C188&gt;12.75,0,IF(C188&lt;7.38,(200+(7.38-C188)*100),VLOOKUP(-C188,baza!$E$3:$F$202,2,1))))</f>
        <v>0</v>
      </c>
      <c r="E188" s="105"/>
      <c r="F188" s="106">
        <f>IF(E188&lt;8,0,IF(E188&gt;77,(200+(E188-77)*2),VLOOKUP(E188,baza!$H$3:$J$202,3,0)))</f>
        <v>0</v>
      </c>
      <c r="G188" s="107"/>
      <c r="H188" s="106">
        <f>IF(G188&lt;80,0,IF(G188&gt;179,200+(G188-179),VLOOKUP(G188,baza!$I:$J,2,0)))</f>
        <v>0</v>
      </c>
      <c r="I188" s="107"/>
      <c r="J188" s="106">
        <f>IF(I188&lt;210,0,IF(I188&gt;593,(200+(I188-593)*2),VLOOKUP(I188,baza!$B$3:$F$202,5,1)))</f>
        <v>0</v>
      </c>
      <c r="K188" s="108"/>
      <c r="L188" s="106">
        <f>IF(K188="",0,IF(K188&gt;(-1*baza!$D$3),0,IF(K188&lt;132.11,INT(200+(132.11-K188)*5),VLOOKUP(-K188,baza!$D$1:$F$203,3,1))))</f>
        <v>0</v>
      </c>
      <c r="M188" s="109">
        <f t="shared" si="50"/>
        <v>0</v>
      </c>
      <c r="N188" s="110">
        <f t="shared" si="51"/>
        <v>0</v>
      </c>
      <c r="O188" s="15">
        <f>IF(COUNT(N183:N188)&lt;6,SUM(N183:N188),SUM(N183:N188)-MIN(N183:N188))</f>
        <v>0</v>
      </c>
      <c r="P188" s="8" t="s">
        <v>1718</v>
      </c>
    </row>
    <row r="189" spans="1:16" ht="16.5" thickTop="1" thickBot="1">
      <c r="A189" s="13">
        <f>szkoły!C50</f>
        <v>0</v>
      </c>
      <c r="B189" s="60" t="s">
        <v>1713</v>
      </c>
      <c r="C189" s="21" t="s">
        <v>1710</v>
      </c>
      <c r="D189" s="21" t="s">
        <v>1714</v>
      </c>
      <c r="E189" s="24" t="s">
        <v>1715</v>
      </c>
      <c r="F189" s="21" t="s">
        <v>1714</v>
      </c>
      <c r="G189" s="23" t="s">
        <v>1712</v>
      </c>
      <c r="H189" s="21" t="s">
        <v>1714</v>
      </c>
      <c r="I189" s="23" t="s">
        <v>1708</v>
      </c>
      <c r="J189" s="21" t="s">
        <v>1714</v>
      </c>
      <c r="K189" s="25" t="s">
        <v>1724</v>
      </c>
      <c r="L189" s="21" t="s">
        <v>1714</v>
      </c>
      <c r="M189" s="22" t="s">
        <v>1716</v>
      </c>
      <c r="N189" s="22" t="s">
        <v>1717</v>
      </c>
      <c r="O189" s="14"/>
      <c r="P189" s="9"/>
    </row>
    <row r="190" spans="1:16" ht="18" thickTop="1" thickBot="1">
      <c r="A190" s="7"/>
      <c r="B190" s="61">
        <f>szkoły!C51</f>
        <v>0</v>
      </c>
      <c r="C190" s="105"/>
      <c r="D190" s="106">
        <f>IF(C190&gt;="",0,IF(C190&gt;12.75,0,IF(C190&lt;7.38,(200+(7.38-C190)*100),VLOOKUP(-C190,baza!$E$3:$F$202,2,1))))</f>
        <v>0</v>
      </c>
      <c r="E190" s="105"/>
      <c r="F190" s="106">
        <f>IF(E190&lt;8,0,IF(E190&gt;77,(200+(E190-77)*2),VLOOKUP(E190,baza!$H$3:$J$202,3,0)))</f>
        <v>0</v>
      </c>
      <c r="G190" s="107"/>
      <c r="H190" s="106">
        <f>IF(G190&lt;80,0,IF(G190&gt;179,200+(G190-179),VLOOKUP(G190,baza!$I:$J,2,0)))</f>
        <v>0</v>
      </c>
      <c r="I190" s="107"/>
      <c r="J190" s="106">
        <f>IF(I190&lt;210,0,IF(I190&gt;593,(200+(I190-593)*2),VLOOKUP(I190,baza!$B$3:$F$202,5,1)))</f>
        <v>0</v>
      </c>
      <c r="K190" s="108"/>
      <c r="L190" s="106">
        <f>IF(K190="",0,IF(K190&gt;(-1*baza!$D$3),0,IF(K190&lt;132.11,INT(200+(132.11-K190)*5),VLOOKUP(-K190,baza!$D$1:$F$203,3,1))))</f>
        <v>0</v>
      </c>
      <c r="M190" s="109">
        <f t="shared" ref="M190:M195" si="52">(D190+F190+H190+J190)</f>
        <v>0</v>
      </c>
      <c r="N190" s="110">
        <f t="shared" ref="N190:N195" si="53">M190+L190</f>
        <v>0</v>
      </c>
      <c r="O190" s="14"/>
      <c r="P190" s="9"/>
    </row>
    <row r="191" spans="1:16" ht="18" thickTop="1" thickBot="1">
      <c r="A191" s="29" t="str">
        <f>O194 &amp; "  " &amp; "I DZIEŃ"</f>
        <v>0  I DZIEŃ</v>
      </c>
      <c r="B191" s="61">
        <f>szkoły!C52</f>
        <v>0</v>
      </c>
      <c r="C191" s="105"/>
      <c r="D191" s="106">
        <f>IF(C191&gt;="",0,IF(C191&gt;12.75,0,IF(C191&lt;7.38,(200+(7.38-C191)*100),VLOOKUP(-C191,baza!$E$3:$F$202,2,1))))</f>
        <v>0</v>
      </c>
      <c r="E191" s="105"/>
      <c r="F191" s="106">
        <f>IF(E191&lt;8,0,IF(E191&gt;77,(200+(E191-77)*2),VLOOKUP(E191,baza!$H$3:$J$202,3,0)))</f>
        <v>0</v>
      </c>
      <c r="G191" s="107"/>
      <c r="H191" s="106">
        <f>IF(G191&lt;80,0,IF(G191&gt;179,200+(G191-179),VLOOKUP(G191,baza!$I:$J,2,0)))</f>
        <v>0</v>
      </c>
      <c r="I191" s="107"/>
      <c r="J191" s="106">
        <f>IF(I191&lt;210,0,IF(I191&gt;593,(200+(I191-593)*2),VLOOKUP(I191,baza!$B$3:$F$202,5,1)))</f>
        <v>0</v>
      </c>
      <c r="K191" s="108"/>
      <c r="L191" s="106">
        <f>IF(K191="",0,IF(K191&gt;(-1*baza!$D$3),0,IF(K191&lt;132.11,INT(200+(132.11-K191)*5),VLOOKUP(-K191,baza!$D$1:$F$203,3,1))))</f>
        <v>0</v>
      </c>
      <c r="M191" s="109">
        <f t="shared" si="52"/>
        <v>0</v>
      </c>
      <c r="N191" s="110">
        <f t="shared" si="53"/>
        <v>0</v>
      </c>
      <c r="O191" s="14"/>
      <c r="P191" s="9"/>
    </row>
    <row r="192" spans="1:16" ht="18" thickTop="1" thickBot="1">
      <c r="A192" s="29" t="str">
        <f>O195 &amp; "  " &amp; "II DZIEŃ"</f>
        <v>0  II DZIEŃ</v>
      </c>
      <c r="B192" s="61">
        <f>szkoły!C53</f>
        <v>0</v>
      </c>
      <c r="C192" s="105"/>
      <c r="D192" s="106">
        <f>IF(C192&gt;="",0,IF(C192&gt;12.75,0,IF(C192&lt;7.38,(200+(7.38-C192)*100),VLOOKUP(-C192,baza!$E$3:$F$202,2,1))))</f>
        <v>0</v>
      </c>
      <c r="E192" s="105"/>
      <c r="F192" s="106">
        <f>IF(E192&lt;8,0,IF(E192&gt;77,(200+(E192-77)*2),VLOOKUP(E192,baza!$H$3:$J$202,3,0)))</f>
        <v>0</v>
      </c>
      <c r="G192" s="107"/>
      <c r="H192" s="106">
        <f>IF(G192&lt;80,0,IF(G192&gt;179,200+(G192-179),VLOOKUP(G192,baza!$I:$J,2,0)))</f>
        <v>0</v>
      </c>
      <c r="I192" s="107"/>
      <c r="J192" s="106">
        <f>IF(I192&lt;210,0,IF(I192&gt;593,(200+(I192-593)*2),VLOOKUP(I192,baza!$B$3:$F$202,5,1)))</f>
        <v>0</v>
      </c>
      <c r="K192" s="108"/>
      <c r="L192" s="106">
        <f>IF(K192="",0,IF(K192&gt;(-1*baza!$D$3),0,IF(K192&lt;132.11,INT(200+(132.11-K192)*5),VLOOKUP(-K192,baza!$D$1:$F$203,3,1))))</f>
        <v>0</v>
      </c>
      <c r="M192" s="109">
        <f t="shared" si="52"/>
        <v>0</v>
      </c>
      <c r="N192" s="110">
        <f t="shared" si="53"/>
        <v>0</v>
      </c>
      <c r="O192" s="14"/>
      <c r="P192" s="9"/>
    </row>
    <row r="193" spans="1:16" ht="18" thickTop="1" thickBot="1">
      <c r="A193" s="7"/>
      <c r="B193" s="61">
        <f>szkoły!C54</f>
        <v>0</v>
      </c>
      <c r="C193" s="105"/>
      <c r="D193" s="106">
        <f>IF(C193&gt;="",0,IF(C193&gt;12.75,0,IF(C193&lt;7.38,(200+(7.38-C193)*100),VLOOKUP(-C193,baza!$E$3:$F$202,2,1))))</f>
        <v>0</v>
      </c>
      <c r="E193" s="105"/>
      <c r="F193" s="106">
        <f>IF(E193&lt;8,0,IF(E193&gt;77,(200+(E193-77)*2),VLOOKUP(E193,baza!$H$3:$J$202,3,0)))</f>
        <v>0</v>
      </c>
      <c r="G193" s="107"/>
      <c r="H193" s="106">
        <f>IF(G193&lt;80,0,IF(G193&gt;179,200+(G193-179),VLOOKUP(G193,baza!$I:$J,2,0)))</f>
        <v>0</v>
      </c>
      <c r="I193" s="107"/>
      <c r="J193" s="106">
        <f>IF(I193&lt;210,0,IF(I193&gt;593,(200+(I193-593)*2),VLOOKUP(I193,baza!$B$3:$F$202,5,1)))</f>
        <v>0</v>
      </c>
      <c r="K193" s="108"/>
      <c r="L193" s="106">
        <f>IF(K193="",0,IF(K193&gt;(-1*baza!$D$3),0,IF(K193&lt;132.11,INT(200+(132.11-K193)*5),VLOOKUP(-K193,baza!$D$1:$F$203,3,1))))</f>
        <v>0</v>
      </c>
      <c r="M193" s="109">
        <f t="shared" si="52"/>
        <v>0</v>
      </c>
      <c r="N193" s="110">
        <f t="shared" si="53"/>
        <v>0</v>
      </c>
      <c r="O193" s="14"/>
      <c r="P193" s="9"/>
    </row>
    <row r="194" spans="1:16" ht="18" thickTop="1" thickBot="1">
      <c r="A194" s="7"/>
      <c r="B194" s="61">
        <f>szkoły!C55</f>
        <v>0</v>
      </c>
      <c r="C194" s="105"/>
      <c r="D194" s="106">
        <f>IF(C194&gt;="",0,IF(C194&gt;12.75,0,IF(C194&lt;7.38,(200+(7.38-C194)*100),VLOOKUP(-C194,baza!$E$3:$F$202,2,1))))</f>
        <v>0</v>
      </c>
      <c r="E194" s="105"/>
      <c r="F194" s="106">
        <f>IF(E194&lt;8,0,IF(E194&gt;77,(200+(E194-77)*2),VLOOKUP(E194,baza!$H$3:$J$202,3,0)))</f>
        <v>0</v>
      </c>
      <c r="G194" s="107"/>
      <c r="H194" s="106">
        <f>IF(G194&lt;80,0,IF(G194&gt;179,200+(G194-179),VLOOKUP(G194,baza!$I:$J,2,0)))</f>
        <v>0</v>
      </c>
      <c r="I194" s="107"/>
      <c r="J194" s="106">
        <f>IF(I194&lt;210,0,IF(I194&gt;593,(200+(I194-593)*2),VLOOKUP(I194,baza!$B$3:$F$202,5,1)))</f>
        <v>0</v>
      </c>
      <c r="K194" s="108"/>
      <c r="L194" s="106">
        <f>IF(K194="",0,IF(K194&gt;(-1*baza!$D$3),0,IF(K194&lt;132.11,INT(200+(132.11-K194)*5),VLOOKUP(-K194,baza!$D$1:$F$203,3,1))))</f>
        <v>0</v>
      </c>
      <c r="M194" s="109">
        <f t="shared" si="52"/>
        <v>0</v>
      </c>
      <c r="N194" s="110">
        <f t="shared" si="53"/>
        <v>0</v>
      </c>
      <c r="O194" s="15">
        <f>SUM(M190:M195)</f>
        <v>0</v>
      </c>
      <c r="P194" s="8" t="s">
        <v>1716</v>
      </c>
    </row>
    <row r="195" spans="1:16" ht="18" thickTop="1" thickBot="1">
      <c r="A195" s="7"/>
      <c r="B195" s="61">
        <f>szkoły!C56</f>
        <v>0</v>
      </c>
      <c r="C195" s="105"/>
      <c r="D195" s="106">
        <f>IF(C195&gt;="",0,IF(C195&gt;12.75,0,IF(C195&lt;7.38,(200+(7.38-C195)*100),VLOOKUP(-C195,baza!$E$3:$F$202,2,1))))</f>
        <v>0</v>
      </c>
      <c r="E195" s="105"/>
      <c r="F195" s="106">
        <f>IF(E195&lt;8,0,IF(E195&gt;77,(200+(E195-77)*2),VLOOKUP(E195,baza!$H$3:$J$202,3,0)))</f>
        <v>0</v>
      </c>
      <c r="G195" s="107"/>
      <c r="H195" s="106">
        <f>IF(G195&lt;80,0,IF(G195&gt;179,200+(G195-179),VLOOKUP(G195,baza!$I:$J,2,0)))</f>
        <v>0</v>
      </c>
      <c r="I195" s="107"/>
      <c r="J195" s="106">
        <f>IF(I195&lt;210,0,IF(I195&gt;593,(200+(I195-593)*2),VLOOKUP(I195,baza!$B$3:$F$202,5,1)))</f>
        <v>0</v>
      </c>
      <c r="K195" s="108"/>
      <c r="L195" s="106">
        <f>IF(K195="",0,IF(K195&gt;(-1*baza!$D$3),0,IF(K195&lt;132.11,INT(200+(132.11-K195)*5),VLOOKUP(-K195,baza!$D$1:$F$203,3,1))))</f>
        <v>0</v>
      </c>
      <c r="M195" s="109">
        <f t="shared" si="52"/>
        <v>0</v>
      </c>
      <c r="N195" s="110">
        <f t="shared" si="53"/>
        <v>0</v>
      </c>
      <c r="O195" s="15">
        <f>IF(COUNT(N190:N195)&lt;6,SUM(N190:N195),SUM(N190:N195)-MIN(N190:N195))</f>
        <v>0</v>
      </c>
      <c r="P195" s="8" t="s">
        <v>1718</v>
      </c>
    </row>
    <row r="196" spans="1:16" ht="16.5" thickTop="1" thickBot="1">
      <c r="A196" s="13">
        <f>szkoły!D50</f>
        <v>0</v>
      </c>
      <c r="B196" s="60" t="s">
        <v>1713</v>
      </c>
      <c r="C196" s="21" t="s">
        <v>1710</v>
      </c>
      <c r="D196" s="21" t="s">
        <v>1714</v>
      </c>
      <c r="E196" s="24" t="s">
        <v>1715</v>
      </c>
      <c r="F196" s="21" t="s">
        <v>1714</v>
      </c>
      <c r="G196" s="23" t="s">
        <v>1712</v>
      </c>
      <c r="H196" s="21" t="s">
        <v>1714</v>
      </c>
      <c r="I196" s="23" t="s">
        <v>1708</v>
      </c>
      <c r="J196" s="21" t="s">
        <v>1714</v>
      </c>
      <c r="K196" s="25" t="s">
        <v>1724</v>
      </c>
      <c r="L196" s="21" t="s">
        <v>1714</v>
      </c>
      <c r="M196" s="22" t="s">
        <v>1716</v>
      </c>
      <c r="N196" s="22" t="s">
        <v>1717</v>
      </c>
      <c r="O196" s="14"/>
      <c r="P196" s="9"/>
    </row>
    <row r="197" spans="1:16" ht="18" thickTop="1" thickBot="1">
      <c r="A197" s="10"/>
      <c r="B197" s="61">
        <f>szkoły!D51</f>
        <v>0</v>
      </c>
      <c r="C197" s="105"/>
      <c r="D197" s="106">
        <f>IF(C197&gt;="",0,IF(C197&gt;12.75,0,IF(C197&lt;7.38,(200+(7.38-C197)*100),VLOOKUP(-C197,baza!$E$3:$F$202,2,1))))</f>
        <v>0</v>
      </c>
      <c r="E197" s="105"/>
      <c r="F197" s="106">
        <f>IF(E197&lt;8,0,IF(E197&gt;77,(200+(E197-77)*2),VLOOKUP(E197,baza!$H$3:$J$202,3,0)))</f>
        <v>0</v>
      </c>
      <c r="G197" s="107"/>
      <c r="H197" s="106">
        <f>IF(G197&lt;80,0,IF(G197&gt;179,200+(G197-179),VLOOKUP(G197,baza!$I:$J,2,0)))</f>
        <v>0</v>
      </c>
      <c r="I197" s="107"/>
      <c r="J197" s="106">
        <f>IF(I197&lt;210,0,IF(I197&gt;593,(200+(I197-593)*2),VLOOKUP(I197,baza!$B$3:$F$202,5,1)))</f>
        <v>0</v>
      </c>
      <c r="K197" s="108"/>
      <c r="L197" s="106">
        <f>IF(K197="",0,IF(K197&gt;(-1*baza!$D$3),0,IF(K197&lt;132.11,INT(200+(132.11-K197)*5),VLOOKUP(-K197,baza!$D$1:$F$203,3,1))))</f>
        <v>0</v>
      </c>
      <c r="M197" s="109">
        <f t="shared" ref="M197:M202" si="54">(D197+F197+H197+J197)</f>
        <v>0</v>
      </c>
      <c r="N197" s="110">
        <f t="shared" ref="N197:N202" si="55">M197+L197</f>
        <v>0</v>
      </c>
      <c r="O197" s="14"/>
      <c r="P197" s="9"/>
    </row>
    <row r="198" spans="1:16" ht="18" thickTop="1" thickBot="1">
      <c r="A198" s="29" t="str">
        <f>O201 &amp; "  " &amp; "I DZIEŃ"</f>
        <v>0  I DZIEŃ</v>
      </c>
      <c r="B198" s="61">
        <f>szkoły!D52</f>
        <v>0</v>
      </c>
      <c r="C198" s="105"/>
      <c r="D198" s="106">
        <f>IF(C198&gt;="",0,IF(C198&gt;12.75,0,IF(C198&lt;7.38,(200+(7.38-C198)*100),VLOOKUP(-C198,baza!$E$3:$F$202,2,1))))</f>
        <v>0</v>
      </c>
      <c r="E198" s="105"/>
      <c r="F198" s="106">
        <f>IF(E198&lt;8,0,IF(E198&gt;77,(200+(E198-77)*2),VLOOKUP(E198,baza!$H$3:$J$202,3,0)))</f>
        <v>0</v>
      </c>
      <c r="G198" s="107"/>
      <c r="H198" s="106">
        <f>IF(G198&lt;80,0,IF(G198&gt;179,200+(G198-179),VLOOKUP(G198,baza!$I:$J,2,0)))</f>
        <v>0</v>
      </c>
      <c r="I198" s="107"/>
      <c r="J198" s="106">
        <f>IF(I198&lt;210,0,IF(I198&gt;593,(200+(I198-593)*2),VLOOKUP(I198,baza!$B$3:$F$202,5,1)))</f>
        <v>0</v>
      </c>
      <c r="K198" s="108"/>
      <c r="L198" s="106">
        <f>IF(K198="",0,IF(K198&gt;(-1*baza!$D$3),0,IF(K198&lt;132.11,INT(200+(132.11-K198)*5),VLOOKUP(-K198,baza!$D$1:$F$203,3,1))))</f>
        <v>0</v>
      </c>
      <c r="M198" s="109">
        <f t="shared" si="54"/>
        <v>0</v>
      </c>
      <c r="N198" s="110">
        <f t="shared" si="55"/>
        <v>0</v>
      </c>
      <c r="O198" s="14"/>
      <c r="P198" s="9"/>
    </row>
    <row r="199" spans="1:16" ht="18" thickTop="1" thickBot="1">
      <c r="A199" s="29" t="str">
        <f>O202 &amp; "  " &amp; "II DZIEŃ"</f>
        <v>0  II DZIEŃ</v>
      </c>
      <c r="B199" s="61">
        <f>szkoły!D53</f>
        <v>0</v>
      </c>
      <c r="C199" s="105"/>
      <c r="D199" s="106">
        <f>IF(C199&gt;="",0,IF(C199&gt;12.75,0,IF(C199&lt;7.38,(200+(7.38-C199)*100),VLOOKUP(-C199,baza!$E$3:$F$202,2,1))))</f>
        <v>0</v>
      </c>
      <c r="E199" s="105"/>
      <c r="F199" s="106">
        <f>IF(E199&lt;8,0,IF(E199&gt;77,(200+(E199-77)*2),VLOOKUP(E199,baza!$H$3:$J$202,3,0)))</f>
        <v>0</v>
      </c>
      <c r="G199" s="107"/>
      <c r="H199" s="106">
        <f>IF(G199&lt;80,0,IF(G199&gt;179,200+(G199-179),VLOOKUP(G199,baza!$I:$J,2,0)))</f>
        <v>0</v>
      </c>
      <c r="I199" s="107"/>
      <c r="J199" s="106">
        <f>IF(I199&lt;210,0,IF(I199&gt;593,(200+(I199-593)*2),VLOOKUP(I199,baza!$B$3:$F$202,5,1)))</f>
        <v>0</v>
      </c>
      <c r="K199" s="108"/>
      <c r="L199" s="106">
        <f>IF(K199="",0,IF(K199&gt;(-1*baza!$D$3),0,IF(K199&lt;132.11,INT(200+(132.11-K199)*5),VLOOKUP(-K199,baza!$D$1:$F$203,3,1))))</f>
        <v>0</v>
      </c>
      <c r="M199" s="109">
        <f t="shared" si="54"/>
        <v>0</v>
      </c>
      <c r="N199" s="110">
        <f t="shared" si="55"/>
        <v>0</v>
      </c>
      <c r="O199" s="14"/>
      <c r="P199" s="9"/>
    </row>
    <row r="200" spans="1:16" ht="18" thickTop="1" thickBot="1">
      <c r="A200" s="10"/>
      <c r="B200" s="61">
        <f>szkoły!D54</f>
        <v>0</v>
      </c>
      <c r="C200" s="105"/>
      <c r="D200" s="106">
        <f>IF(C200&gt;="",0,IF(C200&gt;12.75,0,IF(C200&lt;7.38,(200+(7.38-C200)*100),VLOOKUP(-C200,baza!$E$3:$F$202,2,1))))</f>
        <v>0</v>
      </c>
      <c r="E200" s="105"/>
      <c r="F200" s="106">
        <f>IF(E200&lt;8,0,IF(E200&gt;77,(200+(E200-77)*2),VLOOKUP(E200,baza!$H$3:$J$202,3,0)))</f>
        <v>0</v>
      </c>
      <c r="G200" s="107"/>
      <c r="H200" s="106">
        <f>IF(G200&lt;80,0,IF(G200&gt;179,200+(G200-179),VLOOKUP(G200,baza!$I:$J,2,0)))</f>
        <v>0</v>
      </c>
      <c r="I200" s="107"/>
      <c r="J200" s="106">
        <f>IF(I200&lt;210,0,IF(I200&gt;593,(200+(I200-593)*2),VLOOKUP(I200,baza!$B$3:$F$202,5,1)))</f>
        <v>0</v>
      </c>
      <c r="K200" s="108"/>
      <c r="L200" s="106">
        <f>IF(K200="",0,IF(K200&gt;(-1*baza!$D$3),0,IF(K200&lt;132.11,INT(200+(132.11-K200)*5),VLOOKUP(-K200,baza!$D$1:$F$203,3,1))))</f>
        <v>0</v>
      </c>
      <c r="M200" s="109">
        <f t="shared" si="54"/>
        <v>0</v>
      </c>
      <c r="N200" s="110">
        <f t="shared" si="55"/>
        <v>0</v>
      </c>
      <c r="O200" s="14"/>
      <c r="P200" s="9"/>
    </row>
    <row r="201" spans="1:16" ht="18" thickTop="1" thickBot="1">
      <c r="A201" s="10"/>
      <c r="B201" s="61">
        <f>szkoły!D55</f>
        <v>0</v>
      </c>
      <c r="C201" s="105"/>
      <c r="D201" s="106">
        <f>IF(C201&gt;="",0,IF(C201&gt;12.75,0,IF(C201&lt;7.38,(200+(7.38-C201)*100),VLOOKUP(-C201,baza!$E$3:$F$202,2,1))))</f>
        <v>0</v>
      </c>
      <c r="E201" s="105"/>
      <c r="F201" s="106">
        <f>IF(E201&lt;8,0,IF(E201&gt;77,(200+(E201-77)*2),VLOOKUP(E201,baza!$H$3:$J$202,3,0)))</f>
        <v>0</v>
      </c>
      <c r="G201" s="107"/>
      <c r="H201" s="106">
        <f>IF(G201&lt;80,0,IF(G201&gt;179,200+(G201-179),VLOOKUP(G201,baza!$I:$J,2,0)))</f>
        <v>0</v>
      </c>
      <c r="I201" s="107"/>
      <c r="J201" s="106">
        <f>IF(I201&lt;210,0,IF(I201&gt;593,(200+(I201-593)*2),VLOOKUP(I201,baza!$B$3:$F$202,5,1)))</f>
        <v>0</v>
      </c>
      <c r="K201" s="108"/>
      <c r="L201" s="106">
        <f>IF(K201="",0,IF(K201&gt;(-1*baza!$D$3),0,IF(K201&lt;132.11,INT(200+(132.11-K201)*5),VLOOKUP(-K201,baza!$D$1:$F$203,3,1))))</f>
        <v>0</v>
      </c>
      <c r="M201" s="109">
        <f t="shared" si="54"/>
        <v>0</v>
      </c>
      <c r="N201" s="110">
        <f t="shared" si="55"/>
        <v>0</v>
      </c>
      <c r="O201" s="15">
        <f>SUM(M197:M202)</f>
        <v>0</v>
      </c>
      <c r="P201" s="8" t="s">
        <v>1716</v>
      </c>
    </row>
    <row r="202" spans="1:16" ht="18" thickTop="1" thickBot="1">
      <c r="A202" s="10"/>
      <c r="B202" s="61">
        <f>szkoły!D56</f>
        <v>0</v>
      </c>
      <c r="C202" s="105"/>
      <c r="D202" s="106">
        <f>IF(C202&gt;="",0,IF(C202&gt;12.75,0,IF(C202&lt;7.38,(200+(7.38-C202)*100),VLOOKUP(-C202,baza!$E$3:$F$202,2,1))))</f>
        <v>0</v>
      </c>
      <c r="E202" s="105"/>
      <c r="F202" s="106">
        <f>IF(E202&lt;8,0,IF(E202&gt;77,(200+(E202-77)*2),VLOOKUP(E202,baza!$H$3:$J$202,3,0)))</f>
        <v>0</v>
      </c>
      <c r="G202" s="107"/>
      <c r="H202" s="106">
        <f>IF(G202&lt;80,0,IF(G202&gt;179,200+(G202-179),VLOOKUP(G202,baza!$I:$J,2,0)))</f>
        <v>0</v>
      </c>
      <c r="I202" s="107"/>
      <c r="J202" s="106">
        <f>IF(I202&lt;210,0,IF(I202&gt;593,(200+(I202-593)*2),VLOOKUP(I202,baza!$B$3:$F$202,5,1)))</f>
        <v>0</v>
      </c>
      <c r="K202" s="108"/>
      <c r="L202" s="106">
        <f>IF(K202="",0,IF(K202&gt;(-1*baza!$D$3),0,IF(K202&lt;132.11,INT(200+(132.11-K202)*5),VLOOKUP(-K202,baza!$D$1:$F$203,3,1))))</f>
        <v>0</v>
      </c>
      <c r="M202" s="109">
        <f t="shared" si="54"/>
        <v>0</v>
      </c>
      <c r="N202" s="110">
        <f t="shared" si="55"/>
        <v>0</v>
      </c>
      <c r="O202" s="15">
        <f>IF(COUNT(N197:N202)&lt;6,SUM(N197:N202),SUM(N197:N202)-MIN(N197:N202))</f>
        <v>0</v>
      </c>
      <c r="P202" s="8" t="s">
        <v>1718</v>
      </c>
    </row>
    <row r="203" spans="1:16" ht="16.5" thickTop="1" thickBot="1">
      <c r="A203" s="13">
        <f>szkoły!A58</f>
        <v>0</v>
      </c>
      <c r="B203" s="60" t="s">
        <v>1713</v>
      </c>
      <c r="C203" s="21" t="s">
        <v>1710</v>
      </c>
      <c r="D203" s="21" t="s">
        <v>1714</v>
      </c>
      <c r="E203" s="24" t="s">
        <v>1715</v>
      </c>
      <c r="F203" s="21" t="s">
        <v>1714</v>
      </c>
      <c r="G203" s="23" t="s">
        <v>1712</v>
      </c>
      <c r="H203" s="21" t="s">
        <v>1714</v>
      </c>
      <c r="I203" s="23" t="s">
        <v>1708</v>
      </c>
      <c r="J203" s="21" t="s">
        <v>1714</v>
      </c>
      <c r="K203" s="25" t="s">
        <v>1724</v>
      </c>
      <c r="L203" s="21" t="s">
        <v>1714</v>
      </c>
      <c r="M203" s="22" t="s">
        <v>1716</v>
      </c>
      <c r="N203" s="22" t="s">
        <v>1717</v>
      </c>
      <c r="O203" s="14"/>
      <c r="P203" s="9"/>
    </row>
    <row r="204" spans="1:16" ht="18" thickTop="1" thickBot="1">
      <c r="A204" s="7"/>
      <c r="B204" s="61">
        <f>szkoły!A59</f>
        <v>0</v>
      </c>
      <c r="C204" s="105"/>
      <c r="D204" s="106">
        <f>IF(C204&gt;="",0,IF(C204&gt;12.75,0,IF(C204&lt;7.38,(200+(7.38-C204)*100),VLOOKUP(-C204,baza!$E$3:$F$202,2,1))))</f>
        <v>0</v>
      </c>
      <c r="E204" s="105"/>
      <c r="F204" s="106">
        <f>IF(E204&lt;8,0,IF(E204&gt;77,(200+(E204-77)*2),VLOOKUP(E204,baza!$H$3:$J$202,3,0)))</f>
        <v>0</v>
      </c>
      <c r="G204" s="107"/>
      <c r="H204" s="106">
        <f>IF(G204&lt;80,0,IF(G204&gt;179,200+(G204-179),VLOOKUP(G204,baza!$I:$J,2,0)))</f>
        <v>0</v>
      </c>
      <c r="I204" s="107"/>
      <c r="J204" s="106">
        <f>IF(I204&lt;210,0,IF(I204&gt;593,(200+(I204-593)*2),VLOOKUP(I204,baza!$B$3:$F$202,5,1)))</f>
        <v>0</v>
      </c>
      <c r="K204" s="108"/>
      <c r="L204" s="106">
        <f>IF(K204="",0,IF(K204&gt;(-1*baza!$D$3),0,IF(K204&lt;132.11,INT(200+(132.11-K204)*5),VLOOKUP(-K204,baza!$D$1:$F$203,3,1))))</f>
        <v>0</v>
      </c>
      <c r="M204" s="109">
        <f t="shared" ref="M204:M209" si="56">(D204+F204+H204+J204)</f>
        <v>0</v>
      </c>
      <c r="N204" s="110">
        <f t="shared" ref="N204:N209" si="57">M204+L204</f>
        <v>0</v>
      </c>
      <c r="O204" s="14"/>
      <c r="P204" s="9"/>
    </row>
    <row r="205" spans="1:16" ht="18" thickTop="1" thickBot="1">
      <c r="A205" s="29" t="str">
        <f>O208 &amp; "  " &amp; "I DZIEŃ"</f>
        <v>0  I DZIEŃ</v>
      </c>
      <c r="B205" s="61">
        <f>szkoły!A60</f>
        <v>0</v>
      </c>
      <c r="C205" s="105"/>
      <c r="D205" s="106">
        <f>IF(C205&gt;="",0,IF(C205&gt;12.75,0,IF(C205&lt;7.38,(200+(7.38-C205)*100),VLOOKUP(-C205,baza!$E$3:$F$202,2,1))))</f>
        <v>0</v>
      </c>
      <c r="E205" s="105"/>
      <c r="F205" s="106">
        <f>IF(E205&lt;8,0,IF(E205&gt;77,(200+(E205-77)*2),VLOOKUP(E205,baza!$H$3:$J$202,3,0)))</f>
        <v>0</v>
      </c>
      <c r="G205" s="107"/>
      <c r="H205" s="106">
        <f>IF(G205&lt;80,0,IF(G205&gt;179,200+(G205-179),VLOOKUP(G205,baza!$I:$J,2,0)))</f>
        <v>0</v>
      </c>
      <c r="I205" s="107"/>
      <c r="J205" s="106">
        <f>IF(I205&lt;210,0,IF(I205&gt;593,(200+(I205-593)*2),VLOOKUP(I205,baza!$B$3:$F$202,5,1)))</f>
        <v>0</v>
      </c>
      <c r="K205" s="108"/>
      <c r="L205" s="106">
        <f>IF(K205="",0,IF(K205&gt;(-1*baza!$D$3),0,IF(K205&lt;132.11,INT(200+(132.11-K205)*5),VLOOKUP(-K205,baza!$D$1:$F$203,3,1))))</f>
        <v>0</v>
      </c>
      <c r="M205" s="109">
        <f t="shared" si="56"/>
        <v>0</v>
      </c>
      <c r="N205" s="110">
        <f t="shared" si="57"/>
        <v>0</v>
      </c>
      <c r="O205" s="14"/>
      <c r="P205" s="9"/>
    </row>
    <row r="206" spans="1:16" ht="18" thickTop="1" thickBot="1">
      <c r="A206" s="29" t="str">
        <f>O209 &amp; "  " &amp; "II DZIEŃ"</f>
        <v>0  II DZIEŃ</v>
      </c>
      <c r="B206" s="61">
        <f>szkoły!A61</f>
        <v>0</v>
      </c>
      <c r="C206" s="105"/>
      <c r="D206" s="106">
        <f>IF(C206&gt;="",0,IF(C206&gt;12.75,0,IF(C206&lt;7.38,(200+(7.38-C206)*100),VLOOKUP(-C206,baza!$E$3:$F$202,2,1))))</f>
        <v>0</v>
      </c>
      <c r="E206" s="105"/>
      <c r="F206" s="106">
        <f>IF(E206&lt;8,0,IF(E206&gt;77,(200+(E206-77)*2),VLOOKUP(E206,baza!$H$3:$J$202,3,0)))</f>
        <v>0</v>
      </c>
      <c r="G206" s="107"/>
      <c r="H206" s="106">
        <f>IF(G206&lt;80,0,IF(G206&gt;179,200+(G206-179),VLOOKUP(G206,baza!$I:$J,2,0)))</f>
        <v>0</v>
      </c>
      <c r="I206" s="107"/>
      <c r="J206" s="106">
        <f>IF(I206&lt;210,0,IF(I206&gt;593,(200+(I206-593)*2),VLOOKUP(I206,baza!$B$3:$F$202,5,1)))</f>
        <v>0</v>
      </c>
      <c r="K206" s="108"/>
      <c r="L206" s="106">
        <f>IF(K206="",0,IF(K206&gt;(-1*baza!$D$3),0,IF(K206&lt;132.11,INT(200+(132.11-K206)*5),VLOOKUP(-K206,baza!$D$1:$F$203,3,1))))</f>
        <v>0</v>
      </c>
      <c r="M206" s="109">
        <f t="shared" si="56"/>
        <v>0</v>
      </c>
      <c r="N206" s="110">
        <f t="shared" si="57"/>
        <v>0</v>
      </c>
      <c r="O206" s="14"/>
      <c r="P206" s="9"/>
    </row>
    <row r="207" spans="1:16" ht="18" thickTop="1" thickBot="1">
      <c r="A207" s="7"/>
      <c r="B207" s="61">
        <f>szkoły!A62</f>
        <v>0</v>
      </c>
      <c r="C207" s="105"/>
      <c r="D207" s="106">
        <f>IF(C207&gt;="",0,IF(C207&gt;12.75,0,IF(C207&lt;7.38,(200+(7.38-C207)*100),VLOOKUP(-C207,baza!$E$3:$F$202,2,1))))</f>
        <v>0</v>
      </c>
      <c r="E207" s="105"/>
      <c r="F207" s="106">
        <f>IF(E207&lt;8,0,IF(E207&gt;77,(200+(E207-77)*2),VLOOKUP(E207,baza!$H$3:$J$202,3,0)))</f>
        <v>0</v>
      </c>
      <c r="G207" s="107"/>
      <c r="H207" s="106">
        <f>IF(G207&lt;80,0,IF(G207&gt;179,200+(G207-179),VLOOKUP(G207,baza!$I:$J,2,0)))</f>
        <v>0</v>
      </c>
      <c r="I207" s="107"/>
      <c r="J207" s="106">
        <f>IF(I207&lt;210,0,IF(I207&gt;593,(200+(I207-593)*2),VLOOKUP(I207,baza!$B$3:$F$202,5,1)))</f>
        <v>0</v>
      </c>
      <c r="K207" s="108"/>
      <c r="L207" s="106">
        <f>IF(K207="",0,IF(K207&gt;(-1*baza!$D$3),0,IF(K207&lt;132.11,INT(200+(132.11-K207)*5),VLOOKUP(-K207,baza!$D$1:$F$203,3,1))))</f>
        <v>0</v>
      </c>
      <c r="M207" s="109">
        <f t="shared" si="56"/>
        <v>0</v>
      </c>
      <c r="N207" s="110">
        <f t="shared" si="57"/>
        <v>0</v>
      </c>
      <c r="O207" s="14"/>
      <c r="P207" s="9"/>
    </row>
    <row r="208" spans="1:16" ht="18" thickTop="1" thickBot="1">
      <c r="A208" s="7"/>
      <c r="B208" s="61">
        <f>szkoły!A63</f>
        <v>0</v>
      </c>
      <c r="C208" s="105"/>
      <c r="D208" s="106">
        <f>IF(C208&gt;="",0,IF(C208&gt;12.75,0,IF(C208&lt;7.38,(200+(7.38-C208)*100),VLOOKUP(-C208,baza!$E$3:$F$202,2,1))))</f>
        <v>0</v>
      </c>
      <c r="E208" s="105"/>
      <c r="F208" s="106">
        <f>IF(E208&lt;8,0,IF(E208&gt;77,(200+(E208-77)*2),VLOOKUP(E208,baza!$H$3:$J$202,3,0)))</f>
        <v>0</v>
      </c>
      <c r="G208" s="107"/>
      <c r="H208" s="106">
        <f>IF(G208&lt;80,0,IF(G208&gt;179,200+(G208-179),VLOOKUP(G208,baza!$I:$J,2,0)))</f>
        <v>0</v>
      </c>
      <c r="I208" s="107"/>
      <c r="J208" s="106">
        <f>IF(I208&lt;210,0,IF(I208&gt;593,(200+(I208-593)*2),VLOOKUP(I208,baza!$B$3:$F$202,5,1)))</f>
        <v>0</v>
      </c>
      <c r="K208" s="108"/>
      <c r="L208" s="106">
        <f>IF(K208="",0,IF(K208&gt;(-1*baza!$D$3),0,IF(K208&lt;132.11,INT(200+(132.11-K208)*5),VLOOKUP(-K208,baza!$D$1:$F$203,3,1))))</f>
        <v>0</v>
      </c>
      <c r="M208" s="109">
        <f t="shared" si="56"/>
        <v>0</v>
      </c>
      <c r="N208" s="110">
        <f t="shared" si="57"/>
        <v>0</v>
      </c>
      <c r="O208" s="15">
        <f>SUM(M204:M209)</f>
        <v>0</v>
      </c>
      <c r="P208" s="8" t="s">
        <v>1716</v>
      </c>
    </row>
    <row r="209" spans="1:16" ht="18" thickTop="1" thickBot="1">
      <c r="A209" s="7"/>
      <c r="B209" s="61">
        <f>szkoły!A64</f>
        <v>0</v>
      </c>
      <c r="C209" s="105"/>
      <c r="D209" s="106">
        <f>IF(C209&gt;="",0,IF(C209&gt;12.75,0,IF(C209&lt;7.38,(200+(7.38-C209)*100),VLOOKUP(-C209,baza!$E$3:$F$202,2,1))))</f>
        <v>0</v>
      </c>
      <c r="E209" s="105"/>
      <c r="F209" s="106">
        <f>IF(E209&lt;8,0,IF(E209&gt;77,(200+(E209-77)*2),VLOOKUP(E209,baza!$H$3:$J$202,3,0)))</f>
        <v>0</v>
      </c>
      <c r="G209" s="107"/>
      <c r="H209" s="106">
        <f>IF(G209&lt;80,0,IF(G209&gt;179,200+(G209-179),VLOOKUP(G209,baza!$I:$J,2,0)))</f>
        <v>0</v>
      </c>
      <c r="I209" s="107"/>
      <c r="J209" s="106">
        <f>IF(I209&lt;210,0,IF(I209&gt;593,(200+(I209-593)*2),VLOOKUP(I209,baza!$B$3:$F$202,5,1)))</f>
        <v>0</v>
      </c>
      <c r="K209" s="108"/>
      <c r="L209" s="106">
        <f>IF(K209="",0,IF(K209&gt;(-1*baza!$D$3),0,IF(K209&lt;132.11,INT(200+(132.11-K209)*5),VLOOKUP(-K209,baza!$D$1:$F$203,3,1))))</f>
        <v>0</v>
      </c>
      <c r="M209" s="109">
        <f t="shared" si="56"/>
        <v>0</v>
      </c>
      <c r="N209" s="110">
        <f t="shared" si="57"/>
        <v>0</v>
      </c>
      <c r="O209" s="15">
        <f>IF(COUNT(N204:N209)&lt;6,SUM(N204:N209),SUM(N204:N209)-MIN(N204:N209))</f>
        <v>0</v>
      </c>
      <c r="P209" s="8" t="s">
        <v>1718</v>
      </c>
    </row>
    <row r="210" spans="1:16" ht="16.5" thickTop="1" thickBot="1">
      <c r="A210" s="13">
        <f>szkoły!B58</f>
        <v>0</v>
      </c>
      <c r="B210" s="60" t="s">
        <v>1713</v>
      </c>
      <c r="C210" s="21" t="s">
        <v>1710</v>
      </c>
      <c r="D210" s="21" t="s">
        <v>1714</v>
      </c>
      <c r="E210" s="24" t="s">
        <v>1715</v>
      </c>
      <c r="F210" s="21" t="s">
        <v>1714</v>
      </c>
      <c r="G210" s="23" t="s">
        <v>1712</v>
      </c>
      <c r="H210" s="21" t="s">
        <v>1714</v>
      </c>
      <c r="I210" s="23" t="s">
        <v>1708</v>
      </c>
      <c r="J210" s="21" t="s">
        <v>1714</v>
      </c>
      <c r="K210" s="25" t="s">
        <v>1724</v>
      </c>
      <c r="L210" s="21" t="s">
        <v>1714</v>
      </c>
      <c r="M210" s="22" t="s">
        <v>1716</v>
      </c>
      <c r="N210" s="22" t="s">
        <v>1717</v>
      </c>
      <c r="O210" s="14"/>
      <c r="P210" s="9"/>
    </row>
    <row r="211" spans="1:16" ht="18" thickTop="1" thickBot="1">
      <c r="A211" s="10"/>
      <c r="B211" s="61">
        <f>szkoły!B59</f>
        <v>0</v>
      </c>
      <c r="C211" s="105"/>
      <c r="D211" s="106">
        <f>IF(C211&gt;="",0,IF(C211&gt;12.75,0,IF(C211&lt;7.38,(200+(7.38-C211)*100),VLOOKUP(-C211,baza!$E$3:$F$202,2,1))))</f>
        <v>0</v>
      </c>
      <c r="E211" s="105"/>
      <c r="F211" s="106">
        <f>IF(E211&lt;8,0,IF(E211&gt;77,(200+(E211-77)*2),VLOOKUP(E211,baza!$H$3:$J$202,3,0)))</f>
        <v>0</v>
      </c>
      <c r="G211" s="107"/>
      <c r="H211" s="106">
        <f>IF(G211&lt;80,0,IF(G211&gt;179,200+(G211-179),VLOOKUP(G211,baza!$I:$J,2,0)))</f>
        <v>0</v>
      </c>
      <c r="I211" s="107"/>
      <c r="J211" s="106">
        <f>IF(I211&lt;210,0,IF(I211&gt;593,(200+(I211-593)*2),VLOOKUP(I211,baza!$B$3:$F$202,5,1)))</f>
        <v>0</v>
      </c>
      <c r="K211" s="108"/>
      <c r="L211" s="106">
        <f>IF(K211="",0,IF(K211&gt;(-1*baza!$D$3),0,IF(K211&lt;132.11,INT(200+(132.11-K211)*5),VLOOKUP(-K211,baza!$D$1:$F$203,3,1))))</f>
        <v>0</v>
      </c>
      <c r="M211" s="109">
        <f t="shared" ref="M211:M216" si="58">(D211+F211+H211+J211)</f>
        <v>0</v>
      </c>
      <c r="N211" s="110">
        <f t="shared" ref="N211:N216" si="59">M211+L211</f>
        <v>0</v>
      </c>
      <c r="O211" s="14"/>
      <c r="P211" s="9"/>
    </row>
    <row r="212" spans="1:16" ht="18" thickTop="1" thickBot="1">
      <c r="A212" s="29" t="str">
        <f>O215 &amp; "  " &amp; "I DZIEŃ"</f>
        <v>0  I DZIEŃ</v>
      </c>
      <c r="B212" s="61">
        <f>szkoły!B60</f>
        <v>0</v>
      </c>
      <c r="C212" s="105"/>
      <c r="D212" s="106">
        <f>IF(C212&gt;="",0,IF(C212&gt;12.75,0,IF(C212&lt;7.38,(200+(7.38-C212)*100),VLOOKUP(-C212,baza!$E$3:$F$202,2,1))))</f>
        <v>0</v>
      </c>
      <c r="E212" s="105"/>
      <c r="F212" s="106">
        <f>IF(E212&lt;8,0,IF(E212&gt;77,(200+(E212-77)*2),VLOOKUP(E212,baza!$H$3:$J$202,3,0)))</f>
        <v>0</v>
      </c>
      <c r="G212" s="107"/>
      <c r="H212" s="106">
        <f>IF(G212&lt;80,0,IF(G212&gt;179,200+(G212-179),VLOOKUP(G212,baza!$I:$J,2,0)))</f>
        <v>0</v>
      </c>
      <c r="I212" s="107"/>
      <c r="J212" s="106">
        <f>IF(I212&lt;210,0,IF(I212&gt;593,(200+(I212-593)*2),VLOOKUP(I212,baza!$B$3:$F$202,5,1)))</f>
        <v>0</v>
      </c>
      <c r="K212" s="108"/>
      <c r="L212" s="106">
        <f>IF(K212="",0,IF(K212&gt;(-1*baza!$D$3),0,IF(K212&lt;132.11,INT(200+(132.11-K212)*5),VLOOKUP(-K212,baza!$D$1:$F$203,3,1))))</f>
        <v>0</v>
      </c>
      <c r="M212" s="109">
        <f t="shared" si="58"/>
        <v>0</v>
      </c>
      <c r="N212" s="110">
        <f t="shared" si="59"/>
        <v>0</v>
      </c>
      <c r="O212" s="14"/>
      <c r="P212" s="9"/>
    </row>
    <row r="213" spans="1:16" ht="18" thickTop="1" thickBot="1">
      <c r="A213" s="29" t="str">
        <f>O216 &amp; "  " &amp; "II DZIEŃ"</f>
        <v>0  II DZIEŃ</v>
      </c>
      <c r="B213" s="61">
        <f>szkoły!B61</f>
        <v>0</v>
      </c>
      <c r="C213" s="105"/>
      <c r="D213" s="106">
        <f>IF(C213&gt;="",0,IF(C213&gt;12.75,0,IF(C213&lt;7.38,(200+(7.38-C213)*100),VLOOKUP(-C213,baza!$E$3:$F$202,2,1))))</f>
        <v>0</v>
      </c>
      <c r="E213" s="105"/>
      <c r="F213" s="106">
        <f>IF(E213&lt;8,0,IF(E213&gt;77,(200+(E213-77)*2),VLOOKUP(E213,baza!$H$3:$J$202,3,0)))</f>
        <v>0</v>
      </c>
      <c r="G213" s="107"/>
      <c r="H213" s="106">
        <f>IF(G213&lt;80,0,IF(G213&gt;179,200+(G213-179),VLOOKUP(G213,baza!$I:$J,2,0)))</f>
        <v>0</v>
      </c>
      <c r="I213" s="107"/>
      <c r="J213" s="106">
        <f>IF(I213&lt;210,0,IF(I213&gt;593,(200+(I213-593)*2),VLOOKUP(I213,baza!$B$3:$F$202,5,1)))</f>
        <v>0</v>
      </c>
      <c r="K213" s="108"/>
      <c r="L213" s="106">
        <f>IF(K213="",0,IF(K213&gt;(-1*baza!$D$3),0,IF(K213&lt;132.11,INT(200+(132.11-K213)*5),VLOOKUP(-K213,baza!$D$1:$F$203,3,1))))</f>
        <v>0</v>
      </c>
      <c r="M213" s="109">
        <f t="shared" si="58"/>
        <v>0</v>
      </c>
      <c r="N213" s="110">
        <f t="shared" si="59"/>
        <v>0</v>
      </c>
      <c r="O213" s="14"/>
      <c r="P213" s="9"/>
    </row>
    <row r="214" spans="1:16" ht="18" thickTop="1" thickBot="1">
      <c r="A214" s="10"/>
      <c r="B214" s="61">
        <f>szkoły!B62</f>
        <v>0</v>
      </c>
      <c r="C214" s="105"/>
      <c r="D214" s="106">
        <f>IF(C214&gt;="",0,IF(C214&gt;12.75,0,IF(C214&lt;7.38,(200+(7.38-C214)*100),VLOOKUP(-C214,baza!$E$3:$F$202,2,1))))</f>
        <v>0</v>
      </c>
      <c r="E214" s="105"/>
      <c r="F214" s="106">
        <f>IF(E214&lt;8,0,IF(E214&gt;77,(200+(E214-77)*2),VLOOKUP(E214,baza!$H$3:$J$202,3,0)))</f>
        <v>0</v>
      </c>
      <c r="G214" s="107"/>
      <c r="H214" s="106">
        <f>IF(G214&lt;80,0,IF(G214&gt;179,200+(G214-179),VLOOKUP(G214,baza!$I:$J,2,0)))</f>
        <v>0</v>
      </c>
      <c r="I214" s="107"/>
      <c r="J214" s="106">
        <f>IF(I214&lt;210,0,IF(I214&gt;593,(200+(I214-593)*2),VLOOKUP(I214,baza!$B$3:$F$202,5,1)))</f>
        <v>0</v>
      </c>
      <c r="K214" s="108"/>
      <c r="L214" s="106">
        <f>IF(K214="",0,IF(K214&gt;(-1*baza!$D$3),0,IF(K214&lt;132.11,INT(200+(132.11-K214)*5),VLOOKUP(-K214,baza!$D$1:$F$203,3,1))))</f>
        <v>0</v>
      </c>
      <c r="M214" s="109">
        <f t="shared" si="58"/>
        <v>0</v>
      </c>
      <c r="N214" s="110">
        <f t="shared" si="59"/>
        <v>0</v>
      </c>
      <c r="O214" s="14"/>
      <c r="P214" s="9"/>
    </row>
    <row r="215" spans="1:16" ht="18" thickTop="1" thickBot="1">
      <c r="A215" s="10"/>
      <c r="B215" s="61">
        <f>szkoły!B63</f>
        <v>0</v>
      </c>
      <c r="C215" s="105"/>
      <c r="D215" s="106">
        <f>IF(C215&gt;="",0,IF(C215&gt;12.75,0,IF(C215&lt;7.38,(200+(7.38-C215)*100),VLOOKUP(-C215,baza!$E$3:$F$202,2,1))))</f>
        <v>0</v>
      </c>
      <c r="E215" s="105"/>
      <c r="F215" s="106">
        <f>IF(E215&lt;8,0,IF(E215&gt;77,(200+(E215-77)*2),VLOOKUP(E215,baza!$H$3:$J$202,3,0)))</f>
        <v>0</v>
      </c>
      <c r="G215" s="107"/>
      <c r="H215" s="106">
        <f>IF(G215&lt;80,0,IF(G215&gt;179,200+(G215-179),VLOOKUP(G215,baza!$I:$J,2,0)))</f>
        <v>0</v>
      </c>
      <c r="I215" s="107"/>
      <c r="J215" s="106">
        <f>IF(I215&lt;210,0,IF(I215&gt;593,(200+(I215-593)*2),VLOOKUP(I215,baza!$B$3:$F$202,5,1)))</f>
        <v>0</v>
      </c>
      <c r="K215" s="108"/>
      <c r="L215" s="106">
        <f>IF(K215="",0,IF(K215&gt;(-1*baza!$D$3),0,IF(K215&lt;132.11,INT(200+(132.11-K215)*5),VLOOKUP(-K215,baza!$D$1:$F$203,3,1))))</f>
        <v>0</v>
      </c>
      <c r="M215" s="109">
        <f t="shared" si="58"/>
        <v>0</v>
      </c>
      <c r="N215" s="110">
        <f t="shared" si="59"/>
        <v>0</v>
      </c>
      <c r="O215" s="15">
        <f>SUM(M211:M216)</f>
        <v>0</v>
      </c>
      <c r="P215" s="8" t="s">
        <v>1716</v>
      </c>
    </row>
    <row r="216" spans="1:16" ht="18" thickTop="1" thickBot="1">
      <c r="A216" s="10"/>
      <c r="B216" s="61">
        <f>szkoły!B64</f>
        <v>0</v>
      </c>
      <c r="C216" s="105"/>
      <c r="D216" s="106">
        <f>IF(C216&gt;="",0,IF(C216&gt;12.75,0,IF(C216&lt;7.38,(200+(7.38-C216)*100),VLOOKUP(-C216,baza!$E$3:$F$202,2,1))))</f>
        <v>0</v>
      </c>
      <c r="E216" s="105"/>
      <c r="F216" s="106">
        <f>IF(E216&lt;8,0,IF(E216&gt;77,(200+(E216-77)*2),VLOOKUP(E216,baza!$H$3:$J$202,3,0)))</f>
        <v>0</v>
      </c>
      <c r="G216" s="107"/>
      <c r="H216" s="106">
        <f>IF(G216&lt;80,0,IF(G216&gt;179,200+(G216-179),VLOOKUP(G216,baza!$I:$J,2,0)))</f>
        <v>0</v>
      </c>
      <c r="I216" s="107"/>
      <c r="J216" s="106">
        <f>IF(I216&lt;210,0,IF(I216&gt;593,(200+(I216-593)*2),VLOOKUP(I216,baza!$B$3:$F$202,5,1)))</f>
        <v>0</v>
      </c>
      <c r="K216" s="108"/>
      <c r="L216" s="106">
        <f>IF(K216="",0,IF(K216&gt;(-1*baza!$D$3),0,IF(K216&lt;132.11,INT(200+(132.11-K216)*5),VLOOKUP(-K216,baza!$D$1:$F$203,3,1))))</f>
        <v>0</v>
      </c>
      <c r="M216" s="109">
        <f t="shared" si="58"/>
        <v>0</v>
      </c>
      <c r="N216" s="110">
        <f t="shared" si="59"/>
        <v>0</v>
      </c>
      <c r="O216" s="15">
        <f>IF(COUNT(N211:N216)&lt;6,SUM(N211:N216),SUM(N211:N216)-MIN(N211:N216))</f>
        <v>0</v>
      </c>
      <c r="P216" s="8" t="s">
        <v>1718</v>
      </c>
    </row>
    <row r="217" spans="1:16" ht="16.5" thickTop="1" thickBot="1">
      <c r="A217" s="13">
        <f>szkoły!C58</f>
        <v>0</v>
      </c>
      <c r="B217" s="60" t="s">
        <v>1713</v>
      </c>
      <c r="C217" s="21" t="s">
        <v>1710</v>
      </c>
      <c r="D217" s="21" t="s">
        <v>1714</v>
      </c>
      <c r="E217" s="24" t="s">
        <v>1715</v>
      </c>
      <c r="F217" s="21" t="s">
        <v>1714</v>
      </c>
      <c r="G217" s="23" t="s">
        <v>1712</v>
      </c>
      <c r="H217" s="21" t="s">
        <v>1714</v>
      </c>
      <c r="I217" s="23" t="s">
        <v>1708</v>
      </c>
      <c r="J217" s="21" t="s">
        <v>1714</v>
      </c>
      <c r="K217" s="25" t="s">
        <v>1724</v>
      </c>
      <c r="L217" s="21" t="s">
        <v>1714</v>
      </c>
      <c r="M217" s="22" t="s">
        <v>1716</v>
      </c>
      <c r="N217" s="22" t="s">
        <v>1717</v>
      </c>
      <c r="O217" s="14"/>
      <c r="P217" s="9"/>
    </row>
    <row r="218" spans="1:16" ht="18" thickTop="1" thickBot="1">
      <c r="A218" s="7"/>
      <c r="B218" s="61">
        <f>szkoły!C59</f>
        <v>0</v>
      </c>
      <c r="C218" s="105"/>
      <c r="D218" s="106">
        <f>IF(C218&gt;="",0,IF(C218&gt;12.75,0,IF(C218&lt;7.38,(200+(7.38-C218)*100),VLOOKUP(-C218,baza!$E$3:$F$202,2,1))))</f>
        <v>0</v>
      </c>
      <c r="E218" s="105"/>
      <c r="F218" s="106">
        <f>IF(E218&lt;8,0,IF(E218&gt;77,(200+(E218-77)*2),VLOOKUP(E218,baza!$H$3:$J$202,3,0)))</f>
        <v>0</v>
      </c>
      <c r="G218" s="107"/>
      <c r="H218" s="106">
        <f>IF(G218&lt;80,0,IF(G218&gt;179,200+(G218-179),VLOOKUP(G218,baza!$I:$J,2,0)))</f>
        <v>0</v>
      </c>
      <c r="I218" s="107"/>
      <c r="J218" s="106">
        <f>IF(I218&lt;210,0,IF(I218&gt;593,(200+(I218-593)*2),VLOOKUP(I218,baza!$B$3:$F$202,5,1)))</f>
        <v>0</v>
      </c>
      <c r="K218" s="108"/>
      <c r="L218" s="106">
        <f>IF(K218="",0,IF(K218&gt;(-1*baza!$D$3),0,IF(K218&lt;132.11,INT(200+(132.11-K218)*5),VLOOKUP(-K218,baza!$D$1:$F$203,3,1))))</f>
        <v>0</v>
      </c>
      <c r="M218" s="109">
        <f t="shared" ref="M218:M223" si="60">(D218+F218+H218+J218)</f>
        <v>0</v>
      </c>
      <c r="N218" s="110">
        <f t="shared" ref="N218:N223" si="61">M218+L218</f>
        <v>0</v>
      </c>
      <c r="O218" s="14"/>
      <c r="P218" s="9"/>
    </row>
    <row r="219" spans="1:16" ht="18" thickTop="1" thickBot="1">
      <c r="A219" s="29" t="str">
        <f>O222 &amp; "  " &amp; "I DZIEŃ"</f>
        <v>0  I DZIEŃ</v>
      </c>
      <c r="B219" s="61">
        <f>szkoły!C60</f>
        <v>0</v>
      </c>
      <c r="C219" s="105"/>
      <c r="D219" s="106">
        <f>IF(C219&gt;="",0,IF(C219&gt;12.75,0,IF(C219&lt;7.38,(200+(7.38-C219)*100),VLOOKUP(-C219,baza!$E$3:$F$202,2,1))))</f>
        <v>0</v>
      </c>
      <c r="E219" s="105"/>
      <c r="F219" s="106">
        <f>IF(E219&lt;8,0,IF(E219&gt;77,(200+(E219-77)*2),VLOOKUP(E219,baza!$H$3:$J$202,3,0)))</f>
        <v>0</v>
      </c>
      <c r="G219" s="107"/>
      <c r="H219" s="106">
        <f>IF(G219&lt;80,0,IF(G219&gt;179,200+(G219-179),VLOOKUP(G219,baza!$I:$J,2,0)))</f>
        <v>0</v>
      </c>
      <c r="I219" s="107"/>
      <c r="J219" s="106">
        <f>IF(I219&lt;210,0,IF(I219&gt;593,(200+(I219-593)*2),VLOOKUP(I219,baza!$B$3:$F$202,5,1)))</f>
        <v>0</v>
      </c>
      <c r="K219" s="108"/>
      <c r="L219" s="106">
        <f>IF(K219="",0,IF(K219&gt;(-1*baza!$D$3),0,IF(K219&lt;132.11,INT(200+(132.11-K219)*5),VLOOKUP(-K219,baza!$D$1:$F$203,3,1))))</f>
        <v>0</v>
      </c>
      <c r="M219" s="109">
        <f t="shared" si="60"/>
        <v>0</v>
      </c>
      <c r="N219" s="110">
        <f t="shared" si="61"/>
        <v>0</v>
      </c>
      <c r="O219" s="14"/>
      <c r="P219" s="9"/>
    </row>
    <row r="220" spans="1:16" ht="18" thickTop="1" thickBot="1">
      <c r="A220" s="29" t="str">
        <f>O223 &amp; "  " &amp; "II DZIEŃ"</f>
        <v>0  II DZIEŃ</v>
      </c>
      <c r="B220" s="61">
        <f>szkoły!C61</f>
        <v>0</v>
      </c>
      <c r="C220" s="105"/>
      <c r="D220" s="106">
        <f>IF(C220&gt;="",0,IF(C220&gt;12.75,0,IF(C220&lt;7.38,(200+(7.38-C220)*100),VLOOKUP(-C220,baza!$E$3:$F$202,2,1))))</f>
        <v>0</v>
      </c>
      <c r="E220" s="105"/>
      <c r="F220" s="106">
        <f>IF(E220&lt;8,0,IF(E220&gt;77,(200+(E220-77)*2),VLOOKUP(E220,baza!$H$3:$J$202,3,0)))</f>
        <v>0</v>
      </c>
      <c r="G220" s="107"/>
      <c r="H220" s="106">
        <f>IF(G220&lt;80,0,IF(G220&gt;179,200+(G220-179),VLOOKUP(G220,baza!$I:$J,2,0)))</f>
        <v>0</v>
      </c>
      <c r="I220" s="107"/>
      <c r="J220" s="106">
        <f>IF(I220&lt;210,0,IF(I220&gt;593,(200+(I220-593)*2),VLOOKUP(I220,baza!$B$3:$F$202,5,1)))</f>
        <v>0</v>
      </c>
      <c r="K220" s="108"/>
      <c r="L220" s="106">
        <f>IF(K220="",0,IF(K220&gt;(-1*baza!$D$3),0,IF(K220&lt;132.11,INT(200+(132.11-K220)*5),VLOOKUP(-K220,baza!$D$1:$F$203,3,1))))</f>
        <v>0</v>
      </c>
      <c r="M220" s="109">
        <f t="shared" si="60"/>
        <v>0</v>
      </c>
      <c r="N220" s="110">
        <f t="shared" si="61"/>
        <v>0</v>
      </c>
      <c r="O220" s="14"/>
      <c r="P220" s="9"/>
    </row>
    <row r="221" spans="1:16" ht="18" thickTop="1" thickBot="1">
      <c r="A221" s="7"/>
      <c r="B221" s="61">
        <f>szkoły!C62</f>
        <v>0</v>
      </c>
      <c r="C221" s="105"/>
      <c r="D221" s="106">
        <f>IF(C221&gt;="",0,IF(C221&gt;12.75,0,IF(C221&lt;7.38,(200+(7.38-C221)*100),VLOOKUP(-C221,baza!$E$3:$F$202,2,1))))</f>
        <v>0</v>
      </c>
      <c r="E221" s="105"/>
      <c r="F221" s="106">
        <f>IF(E221&lt;8,0,IF(E221&gt;77,(200+(E221-77)*2),VLOOKUP(E221,baza!$H$3:$J$202,3,0)))</f>
        <v>0</v>
      </c>
      <c r="G221" s="107"/>
      <c r="H221" s="106">
        <f>IF(G221&lt;80,0,IF(G221&gt;179,200+(G221-179),VLOOKUP(G221,baza!$I:$J,2,0)))</f>
        <v>0</v>
      </c>
      <c r="I221" s="107"/>
      <c r="J221" s="106">
        <f>IF(I221&lt;210,0,IF(I221&gt;593,(200+(I221-593)*2),VLOOKUP(I221,baza!$B$3:$F$202,5,1)))</f>
        <v>0</v>
      </c>
      <c r="K221" s="108"/>
      <c r="L221" s="106">
        <f>IF(K221="",0,IF(K221&gt;(-1*baza!$D$3),0,IF(K221&lt;132.11,INT(200+(132.11-K221)*5),VLOOKUP(-K221,baza!$D$1:$F$203,3,1))))</f>
        <v>0</v>
      </c>
      <c r="M221" s="109">
        <f t="shared" si="60"/>
        <v>0</v>
      </c>
      <c r="N221" s="110">
        <f t="shared" si="61"/>
        <v>0</v>
      </c>
      <c r="O221" s="14"/>
      <c r="P221" s="9"/>
    </row>
    <row r="222" spans="1:16" ht="18" thickTop="1" thickBot="1">
      <c r="A222" s="7"/>
      <c r="B222" s="61">
        <f>szkoły!C63</f>
        <v>0</v>
      </c>
      <c r="C222" s="105"/>
      <c r="D222" s="106">
        <f>IF(C222&gt;="",0,IF(C222&gt;12.75,0,IF(C222&lt;7.38,(200+(7.38-C222)*100),VLOOKUP(-C222,baza!$E$3:$F$202,2,1))))</f>
        <v>0</v>
      </c>
      <c r="E222" s="105"/>
      <c r="F222" s="106">
        <f>IF(E222&lt;8,0,IF(E222&gt;77,(200+(E222-77)*2),VLOOKUP(E222,baza!$H$3:$J$202,3,0)))</f>
        <v>0</v>
      </c>
      <c r="G222" s="107"/>
      <c r="H222" s="106">
        <f>IF(G222&lt;80,0,IF(G222&gt;179,200+(G222-179),VLOOKUP(G222,baza!$I:$J,2,0)))</f>
        <v>0</v>
      </c>
      <c r="I222" s="107"/>
      <c r="J222" s="106">
        <f>IF(I222&lt;210,0,IF(I222&gt;593,(200+(I222-593)*2),VLOOKUP(I222,baza!$B$3:$F$202,5,1)))</f>
        <v>0</v>
      </c>
      <c r="K222" s="108"/>
      <c r="L222" s="106">
        <f>IF(K222="",0,IF(K222&gt;(-1*baza!$D$3),0,IF(K222&lt;132.11,INT(200+(132.11-K222)*5),VLOOKUP(-K222,baza!$D$1:$F$203,3,1))))</f>
        <v>0</v>
      </c>
      <c r="M222" s="109">
        <f t="shared" si="60"/>
        <v>0</v>
      </c>
      <c r="N222" s="110">
        <f t="shared" si="61"/>
        <v>0</v>
      </c>
      <c r="O222" s="15">
        <f>SUM(M218:M223)</f>
        <v>0</v>
      </c>
      <c r="P222" s="8" t="s">
        <v>1716</v>
      </c>
    </row>
    <row r="223" spans="1:16" ht="18" thickTop="1" thickBot="1">
      <c r="A223" s="7"/>
      <c r="B223" s="61">
        <f>szkoły!C64</f>
        <v>0</v>
      </c>
      <c r="C223" s="105"/>
      <c r="D223" s="106">
        <f>IF(C223&gt;="",0,IF(C223&gt;12.75,0,IF(C223&lt;7.38,(200+(7.38-C223)*100),VLOOKUP(-C223,baza!$E$3:$F$202,2,1))))</f>
        <v>0</v>
      </c>
      <c r="E223" s="105"/>
      <c r="F223" s="106">
        <f>IF(E223&lt;8,0,IF(E223&gt;77,(200+(E223-77)*2),VLOOKUP(E223,baza!$H$3:$J$202,3,0)))</f>
        <v>0</v>
      </c>
      <c r="G223" s="107"/>
      <c r="H223" s="106">
        <f>IF(G223&lt;80,0,IF(G223&gt;179,200+(G223-179),VLOOKUP(G223,baza!$I:$J,2,0)))</f>
        <v>0</v>
      </c>
      <c r="I223" s="107"/>
      <c r="J223" s="106">
        <f>IF(I223&lt;210,0,IF(I223&gt;593,(200+(I223-593)*2),VLOOKUP(I223,baza!$B$3:$F$202,5,1)))</f>
        <v>0</v>
      </c>
      <c r="K223" s="108"/>
      <c r="L223" s="106">
        <f>IF(K223="",0,IF(K223&gt;(-1*baza!$D$3),0,IF(K223&lt;132.11,INT(200+(132.11-K223)*5),VLOOKUP(-K223,baza!$D$1:$F$203,3,1))))</f>
        <v>0</v>
      </c>
      <c r="M223" s="109">
        <f t="shared" si="60"/>
        <v>0</v>
      </c>
      <c r="N223" s="110">
        <f t="shared" si="61"/>
        <v>0</v>
      </c>
      <c r="O223" s="15">
        <f>IF(COUNT(N218:N223)&lt;6,SUM(N218:N223),SUM(N218:N223)-MIN(N218:N223))</f>
        <v>0</v>
      </c>
      <c r="P223" s="8" t="s">
        <v>1718</v>
      </c>
    </row>
    <row r="224" spans="1:16" ht="16.5" thickTop="1" thickBot="1">
      <c r="A224" s="13">
        <f>szkoły!D58</f>
        <v>0</v>
      </c>
      <c r="B224" s="60" t="s">
        <v>1713</v>
      </c>
      <c r="C224" s="21" t="s">
        <v>1710</v>
      </c>
      <c r="D224" s="21" t="s">
        <v>1714</v>
      </c>
      <c r="E224" s="24" t="s">
        <v>1715</v>
      </c>
      <c r="F224" s="21" t="s">
        <v>1714</v>
      </c>
      <c r="G224" s="23" t="s">
        <v>1712</v>
      </c>
      <c r="H224" s="21" t="s">
        <v>1714</v>
      </c>
      <c r="I224" s="23" t="s">
        <v>1708</v>
      </c>
      <c r="J224" s="21" t="s">
        <v>1714</v>
      </c>
      <c r="K224" s="25" t="s">
        <v>1724</v>
      </c>
      <c r="L224" s="21" t="s">
        <v>1714</v>
      </c>
      <c r="M224" s="22" t="s">
        <v>1716</v>
      </c>
      <c r="N224" s="22" t="s">
        <v>1717</v>
      </c>
      <c r="O224" s="14"/>
      <c r="P224" s="9"/>
    </row>
    <row r="225" spans="1:16" ht="18" thickTop="1" thickBot="1">
      <c r="A225" s="10"/>
      <c r="B225" s="61">
        <f>szkoły!D59</f>
        <v>0</v>
      </c>
      <c r="C225" s="105"/>
      <c r="D225" s="106">
        <f>IF(C225&gt;="",0,IF(C225&gt;12.75,0,IF(C225&lt;7.38,(200+(7.38-C225)*100),VLOOKUP(-C225,baza!$E$3:$F$202,2,1))))</f>
        <v>0</v>
      </c>
      <c r="E225" s="105"/>
      <c r="F225" s="106">
        <f>IF(E225&lt;8,0,IF(E225&gt;77,(200+(E225-77)*2),VLOOKUP(E225,baza!$H$3:$J$202,3,0)))</f>
        <v>0</v>
      </c>
      <c r="G225" s="107"/>
      <c r="H225" s="106">
        <f>IF(G225&lt;80,0,IF(G225&gt;179,200+(G225-179),VLOOKUP(G225,baza!$I:$J,2,0)))</f>
        <v>0</v>
      </c>
      <c r="I225" s="107"/>
      <c r="J225" s="106">
        <f>IF(I225&lt;210,0,IF(I225&gt;593,(200+(I225-593)*2),VLOOKUP(I225,baza!$B$3:$F$202,5,1)))</f>
        <v>0</v>
      </c>
      <c r="K225" s="108"/>
      <c r="L225" s="106">
        <f>IF(K225="",0,IF(K225&gt;(-1*baza!$D$3),0,IF(K225&lt;132.11,INT(200+(132.11-K225)*5),VLOOKUP(-K225,baza!$D$1:$F$203,3,1))))</f>
        <v>0</v>
      </c>
      <c r="M225" s="109">
        <f t="shared" ref="M225:M230" si="62">(D225+F225+H225+J225)</f>
        <v>0</v>
      </c>
      <c r="N225" s="110">
        <f t="shared" ref="N225:N230" si="63">M225+L225</f>
        <v>0</v>
      </c>
      <c r="O225" s="14"/>
      <c r="P225" s="9"/>
    </row>
    <row r="226" spans="1:16" ht="18" thickTop="1" thickBot="1">
      <c r="A226" s="29" t="str">
        <f>O229 &amp; "  " &amp; "I DZIEŃ"</f>
        <v>0  I DZIEŃ</v>
      </c>
      <c r="B226" s="61">
        <f>szkoły!D60</f>
        <v>0</v>
      </c>
      <c r="C226" s="105"/>
      <c r="D226" s="106">
        <f>IF(C226&gt;="",0,IF(C226&gt;12.75,0,IF(C226&lt;7.38,(200+(7.38-C226)*100),VLOOKUP(-C226,baza!$E$3:$F$202,2,1))))</f>
        <v>0</v>
      </c>
      <c r="E226" s="105"/>
      <c r="F226" s="106">
        <f>IF(E226&lt;8,0,IF(E226&gt;77,(200+(E226-77)*2),VLOOKUP(E226,baza!$H$3:$J$202,3,0)))</f>
        <v>0</v>
      </c>
      <c r="G226" s="107"/>
      <c r="H226" s="106">
        <f>IF(G226&lt;80,0,IF(G226&gt;179,200+(G226-179),VLOOKUP(G226,baza!$I:$J,2,0)))</f>
        <v>0</v>
      </c>
      <c r="I226" s="107"/>
      <c r="J226" s="106">
        <f>IF(I226&lt;210,0,IF(I226&gt;593,(200+(I226-593)*2),VLOOKUP(I226,baza!$B$3:$F$202,5,1)))</f>
        <v>0</v>
      </c>
      <c r="K226" s="108"/>
      <c r="L226" s="106">
        <f>IF(K226="",0,IF(K226&gt;(-1*baza!$D$3),0,IF(K226&lt;132.11,INT(200+(132.11-K226)*5),VLOOKUP(-K226,baza!$D$1:$F$203,3,1))))</f>
        <v>0</v>
      </c>
      <c r="M226" s="109">
        <f t="shared" si="62"/>
        <v>0</v>
      </c>
      <c r="N226" s="110">
        <f t="shared" si="63"/>
        <v>0</v>
      </c>
      <c r="O226" s="14"/>
      <c r="P226" s="9"/>
    </row>
    <row r="227" spans="1:16" ht="18" thickTop="1" thickBot="1">
      <c r="A227" s="29" t="str">
        <f>O230 &amp; "  " &amp; "II DZIEŃ"</f>
        <v>0  II DZIEŃ</v>
      </c>
      <c r="B227" s="61">
        <f>szkoły!D61</f>
        <v>0</v>
      </c>
      <c r="C227" s="105"/>
      <c r="D227" s="106">
        <f>IF(C227&gt;="",0,IF(C227&gt;12.75,0,IF(C227&lt;7.38,(200+(7.38-C227)*100),VLOOKUP(-C227,baza!$E$3:$F$202,2,1))))</f>
        <v>0</v>
      </c>
      <c r="E227" s="105"/>
      <c r="F227" s="106">
        <f>IF(E227&lt;8,0,IF(E227&gt;77,(200+(E227-77)*2),VLOOKUP(E227,baza!$H$3:$J$202,3,0)))</f>
        <v>0</v>
      </c>
      <c r="G227" s="107"/>
      <c r="H227" s="106">
        <f>IF(G227&lt;80,0,IF(G227&gt;179,200+(G227-179),VLOOKUP(G227,baza!$I:$J,2,0)))</f>
        <v>0</v>
      </c>
      <c r="I227" s="107"/>
      <c r="J227" s="106">
        <f>IF(I227&lt;210,0,IF(I227&gt;593,(200+(I227-593)*2),VLOOKUP(I227,baza!$B$3:$F$202,5,1)))</f>
        <v>0</v>
      </c>
      <c r="K227" s="108"/>
      <c r="L227" s="106">
        <f>IF(K227="",0,IF(K227&gt;(-1*baza!$D$3),0,IF(K227&lt;132.11,INT(200+(132.11-K227)*5),VLOOKUP(-K227,baza!$D$1:$F$203,3,1))))</f>
        <v>0</v>
      </c>
      <c r="M227" s="109">
        <f t="shared" si="62"/>
        <v>0</v>
      </c>
      <c r="N227" s="110">
        <f t="shared" si="63"/>
        <v>0</v>
      </c>
      <c r="O227" s="14"/>
      <c r="P227" s="9"/>
    </row>
    <row r="228" spans="1:16" ht="18" thickTop="1" thickBot="1">
      <c r="A228" s="10"/>
      <c r="B228" s="61">
        <f>szkoły!D62</f>
        <v>0</v>
      </c>
      <c r="C228" s="105"/>
      <c r="D228" s="106">
        <f>IF(C228&gt;="",0,IF(C228&gt;12.75,0,IF(C228&lt;7.38,(200+(7.38-C228)*100),VLOOKUP(-C228,baza!$E$3:$F$202,2,1))))</f>
        <v>0</v>
      </c>
      <c r="E228" s="105"/>
      <c r="F228" s="106">
        <f>IF(E228&lt;8,0,IF(E228&gt;77,(200+(E228-77)*2),VLOOKUP(E228,baza!$H$3:$J$202,3,0)))</f>
        <v>0</v>
      </c>
      <c r="G228" s="107"/>
      <c r="H228" s="106">
        <f>IF(G228&lt;80,0,IF(G228&gt;179,200+(G228-179),VLOOKUP(G228,baza!$I:$J,2,0)))</f>
        <v>0</v>
      </c>
      <c r="I228" s="107"/>
      <c r="J228" s="106">
        <f>IF(I228&lt;210,0,IF(I228&gt;593,(200+(I228-593)*2),VLOOKUP(I228,baza!$B$3:$F$202,5,1)))</f>
        <v>0</v>
      </c>
      <c r="K228" s="108"/>
      <c r="L228" s="106">
        <f>IF(K228="",0,IF(K228&gt;(-1*baza!$D$3),0,IF(K228&lt;132.11,INT(200+(132.11-K228)*5),VLOOKUP(-K228,baza!$D$1:$F$203,3,1))))</f>
        <v>0</v>
      </c>
      <c r="M228" s="109">
        <f t="shared" si="62"/>
        <v>0</v>
      </c>
      <c r="N228" s="110">
        <f t="shared" si="63"/>
        <v>0</v>
      </c>
      <c r="O228" s="14"/>
      <c r="P228" s="9"/>
    </row>
    <row r="229" spans="1:16" ht="18" thickTop="1" thickBot="1">
      <c r="A229" s="10"/>
      <c r="B229" s="61">
        <f>szkoły!D63</f>
        <v>0</v>
      </c>
      <c r="C229" s="105"/>
      <c r="D229" s="106">
        <f>IF(C229&gt;="",0,IF(C229&gt;12.75,0,IF(C229&lt;7.38,(200+(7.38-C229)*100),VLOOKUP(-C229,baza!$E$3:$F$202,2,1))))</f>
        <v>0</v>
      </c>
      <c r="E229" s="105"/>
      <c r="F229" s="106">
        <f>IF(E229&lt;8,0,IF(E229&gt;77,(200+(E229-77)*2),VLOOKUP(E229,baza!$H$3:$J$202,3,0)))</f>
        <v>0</v>
      </c>
      <c r="G229" s="107"/>
      <c r="H229" s="106">
        <f>IF(G229&lt;80,0,IF(G229&gt;179,200+(G229-179),VLOOKUP(G229,baza!$I:$J,2,0)))</f>
        <v>0</v>
      </c>
      <c r="I229" s="107"/>
      <c r="J229" s="106">
        <f>IF(I229&lt;210,0,IF(I229&gt;593,(200+(I229-593)*2),VLOOKUP(I229,baza!$B$3:$F$202,5,1)))</f>
        <v>0</v>
      </c>
      <c r="K229" s="108"/>
      <c r="L229" s="106">
        <f>IF(K229="",0,IF(K229&gt;(-1*baza!$D$3),0,IF(K229&lt;132.11,INT(200+(132.11-K229)*5),VLOOKUP(-K229,baza!$D$1:$F$203,3,1))))</f>
        <v>0</v>
      </c>
      <c r="M229" s="109">
        <f t="shared" si="62"/>
        <v>0</v>
      </c>
      <c r="N229" s="110">
        <f t="shared" si="63"/>
        <v>0</v>
      </c>
      <c r="O229" s="15">
        <f>SUM(M225:M230)</f>
        <v>0</v>
      </c>
      <c r="P229" s="8" t="s">
        <v>1716</v>
      </c>
    </row>
    <row r="230" spans="1:16" ht="18" thickTop="1" thickBot="1">
      <c r="A230" s="10"/>
      <c r="B230" s="61">
        <f>szkoły!D64</f>
        <v>0</v>
      </c>
      <c r="C230" s="105"/>
      <c r="D230" s="106">
        <f>IF(C230&gt;="",0,IF(C230&gt;12.75,0,IF(C230&lt;7.38,(200+(7.38-C230)*100),VLOOKUP(-C230,baza!$E$3:$F$202,2,1))))</f>
        <v>0</v>
      </c>
      <c r="E230" s="105"/>
      <c r="F230" s="106">
        <f>IF(E230&lt;8,0,IF(E230&gt;77,(200+(E230-77)*2),VLOOKUP(E230,baza!$H$3:$J$202,3,0)))</f>
        <v>0</v>
      </c>
      <c r="G230" s="107"/>
      <c r="H230" s="106">
        <f>IF(G230&lt;80,0,IF(G230&gt;179,200+(G230-179),VLOOKUP(G230,baza!$I:$J,2,0)))</f>
        <v>0</v>
      </c>
      <c r="I230" s="107"/>
      <c r="J230" s="106">
        <f>IF(I230&lt;210,0,IF(I230&gt;593,(200+(I230-593)*2),VLOOKUP(I230,baza!$B$3:$F$202,5,1)))</f>
        <v>0</v>
      </c>
      <c r="K230" s="108"/>
      <c r="L230" s="106">
        <f>IF(K230="",0,IF(K230&gt;(-1*baza!$D$3),0,IF(K230&lt;132.11,INT(200+(132.11-K230)*5),VLOOKUP(-K230,baza!$D$1:$F$203,3,1))))</f>
        <v>0</v>
      </c>
      <c r="M230" s="109">
        <f t="shared" si="62"/>
        <v>0</v>
      </c>
      <c r="N230" s="110">
        <f t="shared" si="63"/>
        <v>0</v>
      </c>
      <c r="O230" s="15">
        <f>IF(COUNT(N225:N230)&lt;6,SUM(N225:N230),SUM(N225:N230)-MIN(N225:N230))</f>
        <v>0</v>
      </c>
      <c r="P230" s="8" t="s">
        <v>1718</v>
      </c>
    </row>
    <row r="231" spans="1:16" ht="16.5" thickTop="1" thickBot="1">
      <c r="A231" s="13">
        <f>szkoły!A66</f>
        <v>0</v>
      </c>
      <c r="B231" s="60" t="s">
        <v>1713</v>
      </c>
      <c r="C231" s="21" t="s">
        <v>1710</v>
      </c>
      <c r="D231" s="21" t="s">
        <v>1714</v>
      </c>
      <c r="E231" s="24" t="s">
        <v>1715</v>
      </c>
      <c r="F231" s="21" t="s">
        <v>1714</v>
      </c>
      <c r="G231" s="23" t="s">
        <v>1712</v>
      </c>
      <c r="H231" s="21" t="s">
        <v>1714</v>
      </c>
      <c r="I231" s="23" t="s">
        <v>1708</v>
      </c>
      <c r="J231" s="21" t="s">
        <v>1714</v>
      </c>
      <c r="K231" s="25" t="s">
        <v>1724</v>
      </c>
      <c r="L231" s="21" t="s">
        <v>1714</v>
      </c>
      <c r="M231" s="22" t="s">
        <v>1716</v>
      </c>
      <c r="N231" s="22" t="s">
        <v>1717</v>
      </c>
      <c r="O231" s="14"/>
      <c r="P231" s="9"/>
    </row>
    <row r="232" spans="1:16" ht="18" thickTop="1" thickBot="1">
      <c r="A232" s="7"/>
      <c r="B232" s="61">
        <f>szkoły!A67</f>
        <v>0</v>
      </c>
      <c r="C232" s="105"/>
      <c r="D232" s="106">
        <f>IF(C232&gt;="",0,IF(C232&gt;12.75,0,IF(C232&lt;7.38,(200+(7.38-C232)*100),VLOOKUP(-C232,baza!$E$3:$F$202,2,1))))</f>
        <v>0</v>
      </c>
      <c r="E232" s="105"/>
      <c r="F232" s="106">
        <f>IF(E232&lt;8,0,IF(E232&gt;77,(200+(E232-77)*2),VLOOKUP(E232,baza!$H$3:$J$202,3,0)))</f>
        <v>0</v>
      </c>
      <c r="G232" s="107"/>
      <c r="H232" s="106">
        <f>IF(G232&lt;80,0,IF(G232&gt;179,200+(G232-179),VLOOKUP(G232,baza!$I:$J,2,0)))</f>
        <v>0</v>
      </c>
      <c r="I232" s="107"/>
      <c r="J232" s="106">
        <f>IF(I232&lt;210,0,IF(I232&gt;593,(200+(I232-593)*2),VLOOKUP(I232,baza!$B$3:$F$202,5,1)))</f>
        <v>0</v>
      </c>
      <c r="K232" s="108"/>
      <c r="L232" s="106">
        <f>IF(K232="",0,IF(K232&gt;(-1*baza!$D$3),0,IF(K232&lt;132.11,INT(200+(132.11-K232)*5),VLOOKUP(-K232,baza!$D$1:$F$203,3,1))))</f>
        <v>0</v>
      </c>
      <c r="M232" s="109">
        <f t="shared" ref="M232:M237" si="64">(D232+F232+H232+J232)</f>
        <v>0</v>
      </c>
      <c r="N232" s="110">
        <f t="shared" ref="N232:N237" si="65">M232+L232</f>
        <v>0</v>
      </c>
      <c r="O232" s="14"/>
      <c r="P232" s="9"/>
    </row>
    <row r="233" spans="1:16" ht="18" thickTop="1" thickBot="1">
      <c r="A233" s="29" t="str">
        <f>O236 &amp; "  " &amp; "I DZIEŃ"</f>
        <v>0  I DZIEŃ</v>
      </c>
      <c r="B233" s="61">
        <f>szkoły!A68</f>
        <v>0</v>
      </c>
      <c r="C233" s="105"/>
      <c r="D233" s="106">
        <f>IF(C233&gt;="",0,IF(C233&gt;12.75,0,IF(C233&lt;7.38,(200+(7.38-C233)*100),VLOOKUP(-C233,baza!$E$3:$F$202,2,1))))</f>
        <v>0</v>
      </c>
      <c r="E233" s="105"/>
      <c r="F233" s="106">
        <f>IF(E233&lt;8,0,IF(E233&gt;77,(200+(E233-77)*2),VLOOKUP(E233,baza!$H$3:$J$202,3,0)))</f>
        <v>0</v>
      </c>
      <c r="G233" s="107"/>
      <c r="H233" s="106">
        <f>IF(G233&lt;80,0,IF(G233&gt;179,200+(G233-179),VLOOKUP(G233,baza!$I:$J,2,0)))</f>
        <v>0</v>
      </c>
      <c r="I233" s="107"/>
      <c r="J233" s="106">
        <f>IF(I233&lt;210,0,IF(I233&gt;593,(200+(I233-593)*2),VLOOKUP(I233,baza!$B$3:$F$202,5,1)))</f>
        <v>0</v>
      </c>
      <c r="K233" s="108"/>
      <c r="L233" s="106">
        <f>IF(K233="",0,IF(K233&gt;(-1*baza!$D$3),0,IF(K233&lt;132.11,INT(200+(132.11-K233)*5),VLOOKUP(-K233,baza!$D$1:$F$203,3,1))))</f>
        <v>0</v>
      </c>
      <c r="M233" s="109">
        <f t="shared" si="64"/>
        <v>0</v>
      </c>
      <c r="N233" s="110">
        <f t="shared" si="65"/>
        <v>0</v>
      </c>
      <c r="O233" s="14"/>
      <c r="P233" s="9"/>
    </row>
    <row r="234" spans="1:16" ht="18" thickTop="1" thickBot="1">
      <c r="A234" s="29" t="str">
        <f>O237 &amp; "  " &amp; "II DZIEŃ"</f>
        <v>0  II DZIEŃ</v>
      </c>
      <c r="B234" s="61">
        <f>szkoły!A69</f>
        <v>0</v>
      </c>
      <c r="C234" s="105"/>
      <c r="D234" s="106">
        <f>IF(C234&gt;="",0,IF(C234&gt;12.75,0,IF(C234&lt;7.38,(200+(7.38-C234)*100),VLOOKUP(-C234,baza!$E$3:$F$202,2,1))))</f>
        <v>0</v>
      </c>
      <c r="E234" s="105"/>
      <c r="F234" s="106">
        <f>IF(E234&lt;8,0,IF(E234&gt;77,(200+(E234-77)*2),VLOOKUP(E234,baza!$H$3:$J$202,3,0)))</f>
        <v>0</v>
      </c>
      <c r="G234" s="107"/>
      <c r="H234" s="106">
        <f>IF(G234&lt;80,0,IF(G234&gt;179,200+(G234-179),VLOOKUP(G234,baza!$I:$J,2,0)))</f>
        <v>0</v>
      </c>
      <c r="I234" s="107"/>
      <c r="J234" s="106">
        <f>IF(I234&lt;210,0,IF(I234&gt;593,(200+(I234-593)*2),VLOOKUP(I234,baza!$B$3:$F$202,5,1)))</f>
        <v>0</v>
      </c>
      <c r="K234" s="108"/>
      <c r="L234" s="106">
        <f>IF(K234="",0,IF(K234&gt;(-1*baza!$D$3),0,IF(K234&lt;132.11,INT(200+(132.11-K234)*5),VLOOKUP(-K234,baza!$D$1:$F$203,3,1))))</f>
        <v>0</v>
      </c>
      <c r="M234" s="109">
        <f t="shared" si="64"/>
        <v>0</v>
      </c>
      <c r="N234" s="110">
        <f t="shared" si="65"/>
        <v>0</v>
      </c>
      <c r="O234" s="14"/>
      <c r="P234" s="9"/>
    </row>
    <row r="235" spans="1:16" ht="18" thickTop="1" thickBot="1">
      <c r="A235" s="7"/>
      <c r="B235" s="61">
        <f>szkoły!A70</f>
        <v>0</v>
      </c>
      <c r="C235" s="105"/>
      <c r="D235" s="106">
        <f>IF(C235&gt;="",0,IF(C235&gt;12.75,0,IF(C235&lt;7.38,(200+(7.38-C235)*100),VLOOKUP(-C235,baza!$E$3:$F$202,2,1))))</f>
        <v>0</v>
      </c>
      <c r="E235" s="105"/>
      <c r="F235" s="106">
        <f>IF(E235&lt;8,0,IF(E235&gt;77,(200+(E235-77)*2),VLOOKUP(E235,baza!$H$3:$J$202,3,0)))</f>
        <v>0</v>
      </c>
      <c r="G235" s="107"/>
      <c r="H235" s="106">
        <f>IF(G235&lt;80,0,IF(G235&gt;179,200+(G235-179),VLOOKUP(G235,baza!$I:$J,2,0)))</f>
        <v>0</v>
      </c>
      <c r="I235" s="107"/>
      <c r="J235" s="106">
        <f>IF(I235&lt;210,0,IF(I235&gt;593,(200+(I235-593)*2),VLOOKUP(I235,baza!$B$3:$F$202,5,1)))</f>
        <v>0</v>
      </c>
      <c r="K235" s="108"/>
      <c r="L235" s="106">
        <f>IF(K235="",0,IF(K235&gt;(-1*baza!$D$3),0,IF(K235&lt;132.11,INT(200+(132.11-K235)*5),VLOOKUP(-K235,baza!$D$1:$F$203,3,1))))</f>
        <v>0</v>
      </c>
      <c r="M235" s="109">
        <f t="shared" si="64"/>
        <v>0</v>
      </c>
      <c r="N235" s="110">
        <f t="shared" si="65"/>
        <v>0</v>
      </c>
      <c r="O235" s="14"/>
      <c r="P235" s="9"/>
    </row>
    <row r="236" spans="1:16" ht="18" thickTop="1" thickBot="1">
      <c r="A236" s="7"/>
      <c r="B236" s="61">
        <f>szkoły!A71</f>
        <v>0</v>
      </c>
      <c r="C236" s="105"/>
      <c r="D236" s="106">
        <f>IF(C236&gt;="",0,IF(C236&gt;12.75,0,IF(C236&lt;7.38,(200+(7.38-C236)*100),VLOOKUP(-C236,baza!$E$3:$F$202,2,1))))</f>
        <v>0</v>
      </c>
      <c r="E236" s="105"/>
      <c r="F236" s="106">
        <f>IF(E236&lt;8,0,IF(E236&gt;77,(200+(E236-77)*2),VLOOKUP(E236,baza!$H$3:$J$202,3,0)))</f>
        <v>0</v>
      </c>
      <c r="G236" s="107"/>
      <c r="H236" s="106">
        <f>IF(G236&lt;80,0,IF(G236&gt;179,200+(G236-179),VLOOKUP(G236,baza!$I:$J,2,0)))</f>
        <v>0</v>
      </c>
      <c r="I236" s="107"/>
      <c r="J236" s="106">
        <f>IF(I236&lt;210,0,IF(I236&gt;593,(200+(I236-593)*2),VLOOKUP(I236,baza!$B$3:$F$202,5,1)))</f>
        <v>0</v>
      </c>
      <c r="K236" s="108"/>
      <c r="L236" s="106">
        <f>IF(K236="",0,IF(K236&gt;(-1*baza!$D$3),0,IF(K236&lt;132.11,INT(200+(132.11-K236)*5),VLOOKUP(-K236,baza!$D$1:$F$203,3,1))))</f>
        <v>0</v>
      </c>
      <c r="M236" s="109">
        <f t="shared" si="64"/>
        <v>0</v>
      </c>
      <c r="N236" s="110">
        <f t="shared" si="65"/>
        <v>0</v>
      </c>
      <c r="O236" s="15">
        <f>SUM(M232:M237)</f>
        <v>0</v>
      </c>
      <c r="P236" s="8" t="s">
        <v>1716</v>
      </c>
    </row>
    <row r="237" spans="1:16" ht="18" thickTop="1" thickBot="1">
      <c r="A237" s="7"/>
      <c r="B237" s="61">
        <f>szkoły!A72</f>
        <v>0</v>
      </c>
      <c r="C237" s="105"/>
      <c r="D237" s="106">
        <f>IF(C237&gt;="",0,IF(C237&gt;12.75,0,IF(C237&lt;7.38,(200+(7.38-C237)*100),VLOOKUP(-C237,baza!$E$3:$F$202,2,1))))</f>
        <v>0</v>
      </c>
      <c r="E237" s="105"/>
      <c r="F237" s="106">
        <f>IF(E237&lt;8,0,IF(E237&gt;77,(200+(E237-77)*2),VLOOKUP(E237,baza!$H$3:$J$202,3,0)))</f>
        <v>0</v>
      </c>
      <c r="G237" s="107"/>
      <c r="H237" s="106">
        <f>IF(G237&lt;80,0,IF(G237&gt;179,200+(G237-179),VLOOKUP(G237,baza!$I:$J,2,0)))</f>
        <v>0</v>
      </c>
      <c r="I237" s="107"/>
      <c r="J237" s="106">
        <f>IF(I237&lt;210,0,IF(I237&gt;593,(200+(I237-593)*2),VLOOKUP(I237,baza!$B$3:$F$202,5,1)))</f>
        <v>0</v>
      </c>
      <c r="K237" s="108"/>
      <c r="L237" s="106">
        <f>IF(K237="",0,IF(K237&gt;(-1*baza!$D$3),0,IF(K237&lt;132.11,INT(200+(132.11-K237)*5),VLOOKUP(-K237,baza!$D$1:$F$203,3,1))))</f>
        <v>0</v>
      </c>
      <c r="M237" s="109">
        <f t="shared" si="64"/>
        <v>0</v>
      </c>
      <c r="N237" s="110">
        <f t="shared" si="65"/>
        <v>0</v>
      </c>
      <c r="O237" s="15">
        <f>IF(COUNT(N232:N237)&lt;6,SUM(N232:N237),SUM(N232:N237)-MIN(N232:N237))</f>
        <v>0</v>
      </c>
      <c r="P237" s="8" t="s">
        <v>1718</v>
      </c>
    </row>
    <row r="238" spans="1:16" ht="16.5" thickTop="1" thickBot="1">
      <c r="A238" s="13">
        <f>szkoły!B66</f>
        <v>0</v>
      </c>
      <c r="B238" s="60" t="s">
        <v>1713</v>
      </c>
      <c r="C238" s="21" t="s">
        <v>1710</v>
      </c>
      <c r="D238" s="21" t="s">
        <v>1714</v>
      </c>
      <c r="E238" s="24" t="s">
        <v>1715</v>
      </c>
      <c r="F238" s="21" t="s">
        <v>1714</v>
      </c>
      <c r="G238" s="23" t="s">
        <v>1712</v>
      </c>
      <c r="H238" s="21" t="s">
        <v>1714</v>
      </c>
      <c r="I238" s="23" t="s">
        <v>1708</v>
      </c>
      <c r="J238" s="21" t="s">
        <v>1714</v>
      </c>
      <c r="K238" s="25" t="s">
        <v>1724</v>
      </c>
      <c r="L238" s="21" t="s">
        <v>1714</v>
      </c>
      <c r="M238" s="22" t="s">
        <v>1716</v>
      </c>
      <c r="N238" s="22" t="s">
        <v>1717</v>
      </c>
      <c r="O238" s="14"/>
      <c r="P238" s="9"/>
    </row>
    <row r="239" spans="1:16" ht="18" thickTop="1" thickBot="1">
      <c r="A239" s="10"/>
      <c r="B239" s="61">
        <f>szkoły!B67</f>
        <v>0</v>
      </c>
      <c r="C239" s="105"/>
      <c r="D239" s="106">
        <f>IF(C239&gt;="",0,IF(C239&gt;12.75,0,IF(C239&lt;7.38,(200+(7.38-C239)*100),VLOOKUP(-C239,baza!$E$3:$F$202,2,1))))</f>
        <v>0</v>
      </c>
      <c r="E239" s="105"/>
      <c r="F239" s="106">
        <f>IF(E239&lt;8,0,IF(E239&gt;77,(200+(E239-77)*2),VLOOKUP(E239,baza!$H$3:$J$202,3,0)))</f>
        <v>0</v>
      </c>
      <c r="G239" s="107"/>
      <c r="H239" s="106">
        <f>IF(G239&lt;80,0,IF(G239&gt;179,200+(G239-179),VLOOKUP(G239,baza!$I:$J,2,0)))</f>
        <v>0</v>
      </c>
      <c r="I239" s="107"/>
      <c r="J239" s="106">
        <f>IF(I239&lt;210,0,IF(I239&gt;593,(200+(I239-593)*2),VLOOKUP(I239,baza!$B$3:$F$202,5,1)))</f>
        <v>0</v>
      </c>
      <c r="K239" s="108"/>
      <c r="L239" s="106">
        <f>IF(K239="",0,IF(K239&gt;(-1*baza!$D$3),0,IF(K239&lt;132.11,INT(200+(132.11-K239)*5),VLOOKUP(-K239,baza!$D$1:$F$203,3,1))))</f>
        <v>0</v>
      </c>
      <c r="M239" s="109">
        <f t="shared" ref="M239:M244" si="66">(D239+F239+H239+J239)</f>
        <v>0</v>
      </c>
      <c r="N239" s="110">
        <f t="shared" ref="N239:N244" si="67">M239+L239</f>
        <v>0</v>
      </c>
      <c r="O239" s="14"/>
      <c r="P239" s="9"/>
    </row>
    <row r="240" spans="1:16" ht="18" thickTop="1" thickBot="1">
      <c r="A240" s="29" t="str">
        <f>O243 &amp; "  " &amp; "I DZIEŃ"</f>
        <v>0  I DZIEŃ</v>
      </c>
      <c r="B240" s="61">
        <f>szkoły!B68</f>
        <v>0</v>
      </c>
      <c r="C240" s="105"/>
      <c r="D240" s="106">
        <f>IF(C240&gt;="",0,IF(C240&gt;12.75,0,IF(C240&lt;7.38,(200+(7.38-C240)*100),VLOOKUP(-C240,baza!$E$3:$F$202,2,1))))</f>
        <v>0</v>
      </c>
      <c r="E240" s="105"/>
      <c r="F240" s="106">
        <f>IF(E240&lt;8,0,IF(E240&gt;77,(200+(E240-77)*2),VLOOKUP(E240,baza!$H$3:$J$202,3,0)))</f>
        <v>0</v>
      </c>
      <c r="G240" s="107"/>
      <c r="H240" s="106">
        <f>IF(G240&lt;80,0,IF(G240&gt;179,200+(G240-179),VLOOKUP(G240,baza!$I:$J,2,0)))</f>
        <v>0</v>
      </c>
      <c r="I240" s="107"/>
      <c r="J240" s="106">
        <f>IF(I240&lt;210,0,IF(I240&gt;593,(200+(I240-593)*2),VLOOKUP(I240,baza!$B$3:$F$202,5,1)))</f>
        <v>0</v>
      </c>
      <c r="K240" s="108"/>
      <c r="L240" s="106">
        <f>IF(K240="",0,IF(K240&gt;(-1*baza!$D$3),0,IF(K240&lt;132.11,INT(200+(132.11-K240)*5),VLOOKUP(-K240,baza!$D$1:$F$203,3,1))))</f>
        <v>0</v>
      </c>
      <c r="M240" s="109">
        <f t="shared" si="66"/>
        <v>0</v>
      </c>
      <c r="N240" s="110">
        <f t="shared" si="67"/>
        <v>0</v>
      </c>
      <c r="O240" s="14"/>
      <c r="P240" s="9"/>
    </row>
    <row r="241" spans="1:16" ht="18" thickTop="1" thickBot="1">
      <c r="A241" s="29" t="str">
        <f>O244 &amp; "  " &amp; "II DZIEŃ"</f>
        <v>0  II DZIEŃ</v>
      </c>
      <c r="B241" s="61">
        <f>szkoły!B69</f>
        <v>0</v>
      </c>
      <c r="C241" s="105"/>
      <c r="D241" s="106">
        <f>IF(C241&gt;="",0,IF(C241&gt;12.75,0,IF(C241&lt;7.38,(200+(7.38-C241)*100),VLOOKUP(-C241,baza!$E$3:$F$202,2,1))))</f>
        <v>0</v>
      </c>
      <c r="E241" s="105"/>
      <c r="F241" s="106">
        <f>IF(E241&lt;8,0,IF(E241&gt;77,(200+(E241-77)*2),VLOOKUP(E241,baza!$H$3:$J$202,3,0)))</f>
        <v>0</v>
      </c>
      <c r="G241" s="107"/>
      <c r="H241" s="106">
        <f>IF(G241&lt;80,0,IF(G241&gt;179,200+(G241-179),VLOOKUP(G241,baza!$I:$J,2,0)))</f>
        <v>0</v>
      </c>
      <c r="I241" s="107"/>
      <c r="J241" s="106">
        <f>IF(I241&lt;210,0,IF(I241&gt;593,(200+(I241-593)*2),VLOOKUP(I241,baza!$B$3:$F$202,5,1)))</f>
        <v>0</v>
      </c>
      <c r="K241" s="108"/>
      <c r="L241" s="106">
        <f>IF(K241="",0,IF(K241&gt;(-1*baza!$D$3),0,IF(K241&lt;132.11,INT(200+(132.11-K241)*5),VLOOKUP(-K241,baza!$D$1:$F$203,3,1))))</f>
        <v>0</v>
      </c>
      <c r="M241" s="109">
        <f t="shared" si="66"/>
        <v>0</v>
      </c>
      <c r="N241" s="110">
        <f t="shared" si="67"/>
        <v>0</v>
      </c>
      <c r="O241" s="14"/>
      <c r="P241" s="9"/>
    </row>
    <row r="242" spans="1:16" ht="18" thickTop="1" thickBot="1">
      <c r="A242" s="10"/>
      <c r="B242" s="61">
        <f>szkoły!B70</f>
        <v>0</v>
      </c>
      <c r="C242" s="105"/>
      <c r="D242" s="106">
        <f>IF(C242&gt;="",0,IF(C242&gt;12.75,0,IF(C242&lt;7.38,(200+(7.38-C242)*100),VLOOKUP(-C242,baza!$E$3:$F$202,2,1))))</f>
        <v>0</v>
      </c>
      <c r="E242" s="105"/>
      <c r="F242" s="106">
        <f>IF(E242&lt;8,0,IF(E242&gt;77,(200+(E242-77)*2),VLOOKUP(E242,baza!$H$3:$J$202,3,0)))</f>
        <v>0</v>
      </c>
      <c r="G242" s="107"/>
      <c r="H242" s="106">
        <f>IF(G242&lt;80,0,IF(G242&gt;179,200+(G242-179),VLOOKUP(G242,baza!$I:$J,2,0)))</f>
        <v>0</v>
      </c>
      <c r="I242" s="107"/>
      <c r="J242" s="106">
        <f>IF(I242&lt;210,0,IF(I242&gt;593,(200+(I242-593)*2),VLOOKUP(I242,baza!$B$3:$F$202,5,1)))</f>
        <v>0</v>
      </c>
      <c r="K242" s="108"/>
      <c r="L242" s="106">
        <f>IF(K242="",0,IF(K242&gt;(-1*baza!$D$3),0,IF(K242&lt;132.11,INT(200+(132.11-K242)*5),VLOOKUP(-K242,baza!$D$1:$F$203,3,1))))</f>
        <v>0</v>
      </c>
      <c r="M242" s="109">
        <f t="shared" si="66"/>
        <v>0</v>
      </c>
      <c r="N242" s="110">
        <f t="shared" si="67"/>
        <v>0</v>
      </c>
      <c r="O242" s="14"/>
      <c r="P242" s="9"/>
    </row>
    <row r="243" spans="1:16" ht="18" thickTop="1" thickBot="1">
      <c r="A243" s="10"/>
      <c r="B243" s="61">
        <f>szkoły!B71</f>
        <v>0</v>
      </c>
      <c r="C243" s="105"/>
      <c r="D243" s="106">
        <f>IF(C243&gt;="",0,IF(C243&gt;12.75,0,IF(C243&lt;7.38,(200+(7.38-C243)*100),VLOOKUP(-C243,baza!$E$3:$F$202,2,1))))</f>
        <v>0</v>
      </c>
      <c r="E243" s="105"/>
      <c r="F243" s="106">
        <f>IF(E243&lt;8,0,IF(E243&gt;77,(200+(E243-77)*2),VLOOKUP(E243,baza!$H$3:$J$202,3,0)))</f>
        <v>0</v>
      </c>
      <c r="G243" s="107"/>
      <c r="H243" s="106">
        <f>IF(G243&lt;80,0,IF(G243&gt;179,200+(G243-179),VLOOKUP(G243,baza!$I:$J,2,0)))</f>
        <v>0</v>
      </c>
      <c r="I243" s="107"/>
      <c r="J243" s="106">
        <f>IF(I243&lt;210,0,IF(I243&gt;593,(200+(I243-593)*2),VLOOKUP(I243,baza!$B$3:$F$202,5,1)))</f>
        <v>0</v>
      </c>
      <c r="K243" s="108"/>
      <c r="L243" s="106">
        <f>IF(K243="",0,IF(K243&gt;(-1*baza!$D$3),0,IF(K243&lt;132.11,INT(200+(132.11-K243)*5),VLOOKUP(-K243,baza!$D$1:$F$203,3,1))))</f>
        <v>0</v>
      </c>
      <c r="M243" s="109">
        <f t="shared" si="66"/>
        <v>0</v>
      </c>
      <c r="N243" s="110">
        <f t="shared" si="67"/>
        <v>0</v>
      </c>
      <c r="O243" s="15">
        <f>SUM(M239:M244)</f>
        <v>0</v>
      </c>
      <c r="P243" s="8" t="s">
        <v>1716</v>
      </c>
    </row>
    <row r="244" spans="1:16" ht="18" thickTop="1" thickBot="1">
      <c r="A244" s="10"/>
      <c r="B244" s="61">
        <f>szkoły!B72</f>
        <v>0</v>
      </c>
      <c r="C244" s="105"/>
      <c r="D244" s="106">
        <f>IF(C244&gt;="",0,IF(C244&gt;12.75,0,IF(C244&lt;7.38,(200+(7.38-C244)*100),VLOOKUP(-C244,baza!$E$3:$F$202,2,1))))</f>
        <v>0</v>
      </c>
      <c r="E244" s="105"/>
      <c r="F244" s="106">
        <f>IF(E244&lt;8,0,IF(E244&gt;77,(200+(E244-77)*2),VLOOKUP(E244,baza!$H$3:$J$202,3,0)))</f>
        <v>0</v>
      </c>
      <c r="G244" s="107"/>
      <c r="H244" s="106">
        <f>IF(G244&lt;80,0,IF(G244&gt;179,200+(G244-179),VLOOKUP(G244,baza!$I:$J,2,0)))</f>
        <v>0</v>
      </c>
      <c r="I244" s="107"/>
      <c r="J244" s="106">
        <f>IF(I244&lt;210,0,IF(I244&gt;593,(200+(I244-593)*2),VLOOKUP(I244,baza!$B$3:$F$202,5,1)))</f>
        <v>0</v>
      </c>
      <c r="K244" s="108"/>
      <c r="L244" s="106">
        <f>IF(K244="",0,IF(K244&gt;(-1*baza!$D$3),0,IF(K244&lt;132.11,INT(200+(132.11-K244)*5),VLOOKUP(-K244,baza!$D$1:$F$203,3,1))))</f>
        <v>0</v>
      </c>
      <c r="M244" s="109">
        <f t="shared" si="66"/>
        <v>0</v>
      </c>
      <c r="N244" s="110">
        <f t="shared" si="67"/>
        <v>0</v>
      </c>
      <c r="O244" s="15">
        <f>IF(COUNT(N239:N244)&lt;6,SUM(N239:N244),SUM(N239:N244)-MIN(N239:N244))</f>
        <v>0</v>
      </c>
      <c r="P244" s="8" t="s">
        <v>1718</v>
      </c>
    </row>
    <row r="245" spans="1:16" ht="16.5" thickTop="1" thickBot="1">
      <c r="A245" s="13">
        <f>szkoły!C66</f>
        <v>0</v>
      </c>
      <c r="B245" s="60" t="s">
        <v>1713</v>
      </c>
      <c r="C245" s="21" t="s">
        <v>1710</v>
      </c>
      <c r="D245" s="21" t="s">
        <v>1714</v>
      </c>
      <c r="E245" s="24" t="s">
        <v>1715</v>
      </c>
      <c r="F245" s="21" t="s">
        <v>1714</v>
      </c>
      <c r="G245" s="23" t="s">
        <v>1712</v>
      </c>
      <c r="H245" s="21" t="s">
        <v>1714</v>
      </c>
      <c r="I245" s="23" t="s">
        <v>1708</v>
      </c>
      <c r="J245" s="21" t="s">
        <v>1714</v>
      </c>
      <c r="K245" s="25" t="s">
        <v>1724</v>
      </c>
      <c r="L245" s="21" t="s">
        <v>1714</v>
      </c>
      <c r="M245" s="22" t="s">
        <v>1716</v>
      </c>
      <c r="N245" s="22" t="s">
        <v>1717</v>
      </c>
      <c r="O245" s="14"/>
      <c r="P245" s="9"/>
    </row>
    <row r="246" spans="1:16" ht="18" thickTop="1" thickBot="1">
      <c r="A246" s="7"/>
      <c r="B246" s="61">
        <f>szkoły!C67</f>
        <v>0</v>
      </c>
      <c r="C246" s="105"/>
      <c r="D246" s="106">
        <f>IF(C246&gt;="",0,IF(C246&gt;12.75,0,IF(C246&lt;7.38,(200+(7.38-C246)*100),VLOOKUP(-C246,baza!$E$3:$F$202,2,1))))</f>
        <v>0</v>
      </c>
      <c r="E246" s="105"/>
      <c r="F246" s="106">
        <f>IF(E246&lt;8,0,IF(E246&gt;77,(200+(E246-77)*2),VLOOKUP(E246,baza!$H$3:$J$202,3,0)))</f>
        <v>0</v>
      </c>
      <c r="G246" s="107"/>
      <c r="H246" s="106">
        <f>IF(G246&lt;80,0,IF(G246&gt;179,200+(G246-179),VLOOKUP(G246,baza!$I:$J,2,0)))</f>
        <v>0</v>
      </c>
      <c r="I246" s="107"/>
      <c r="J246" s="106">
        <f>IF(I246&lt;210,0,IF(I246&gt;593,(200+(I246-593)*2),VLOOKUP(I246,baza!$B$3:$F$202,5,1)))</f>
        <v>0</v>
      </c>
      <c r="K246" s="108"/>
      <c r="L246" s="106">
        <f>IF(K246="",0,IF(K246&gt;(-1*baza!$D$3),0,IF(K246&lt;132.11,INT(200+(132.11-K246)*5),VLOOKUP(-K246,baza!$D$1:$F$203,3,1))))</f>
        <v>0</v>
      </c>
      <c r="M246" s="109">
        <f t="shared" ref="M246:M251" si="68">(D246+F246+H246+J246)</f>
        <v>0</v>
      </c>
      <c r="N246" s="110">
        <f t="shared" ref="N246:N251" si="69">M246+L246</f>
        <v>0</v>
      </c>
      <c r="O246" s="14"/>
      <c r="P246" s="9"/>
    </row>
    <row r="247" spans="1:16" ht="18" thickTop="1" thickBot="1">
      <c r="A247" s="29" t="str">
        <f>O250 &amp; "  " &amp; "I DZIEŃ"</f>
        <v>0  I DZIEŃ</v>
      </c>
      <c r="B247" s="61">
        <f>szkoły!C68</f>
        <v>0</v>
      </c>
      <c r="C247" s="105"/>
      <c r="D247" s="106">
        <f>IF(C247&gt;="",0,IF(C247&gt;12.75,0,IF(C247&lt;7.38,(200+(7.38-C247)*100),VLOOKUP(-C247,baza!$E$3:$F$202,2,1))))</f>
        <v>0</v>
      </c>
      <c r="E247" s="105"/>
      <c r="F247" s="106">
        <f>IF(E247&lt;8,0,IF(E247&gt;77,(200+(E247-77)*2),VLOOKUP(E247,baza!$H$3:$J$202,3,0)))</f>
        <v>0</v>
      </c>
      <c r="G247" s="107"/>
      <c r="H247" s="106">
        <f>IF(G247&lt;80,0,IF(G247&gt;179,200+(G247-179),VLOOKUP(G247,baza!$I:$J,2,0)))</f>
        <v>0</v>
      </c>
      <c r="I247" s="107"/>
      <c r="J247" s="106">
        <f>IF(I247&lt;210,0,IF(I247&gt;593,(200+(I247-593)*2),VLOOKUP(I247,baza!$B$3:$F$202,5,1)))</f>
        <v>0</v>
      </c>
      <c r="K247" s="108"/>
      <c r="L247" s="106">
        <f>IF(K247="",0,IF(K247&gt;(-1*baza!$D$3),0,IF(K247&lt;132.11,INT(200+(132.11-K247)*5),VLOOKUP(-K247,baza!$D$1:$F$203,3,1))))</f>
        <v>0</v>
      </c>
      <c r="M247" s="109">
        <f t="shared" si="68"/>
        <v>0</v>
      </c>
      <c r="N247" s="110">
        <f t="shared" si="69"/>
        <v>0</v>
      </c>
      <c r="O247" s="14"/>
      <c r="P247" s="9"/>
    </row>
    <row r="248" spans="1:16" ht="18" thickTop="1" thickBot="1">
      <c r="A248" s="29" t="str">
        <f>O251 &amp; "  " &amp; "II DZIEŃ"</f>
        <v>0  II DZIEŃ</v>
      </c>
      <c r="B248" s="61">
        <f>szkoły!C69</f>
        <v>0</v>
      </c>
      <c r="C248" s="105"/>
      <c r="D248" s="106">
        <f>IF(C248&gt;="",0,IF(C248&gt;12.75,0,IF(C248&lt;7.38,(200+(7.38-C248)*100),VLOOKUP(-C248,baza!$E$3:$F$202,2,1))))</f>
        <v>0</v>
      </c>
      <c r="E248" s="105"/>
      <c r="F248" s="106">
        <f>IF(E248&lt;8,0,IF(E248&gt;77,(200+(E248-77)*2),VLOOKUP(E248,baza!$H$3:$J$202,3,0)))</f>
        <v>0</v>
      </c>
      <c r="G248" s="107"/>
      <c r="H248" s="106">
        <f>IF(G248&lt;80,0,IF(G248&gt;179,200+(G248-179),VLOOKUP(G248,baza!$I:$J,2,0)))</f>
        <v>0</v>
      </c>
      <c r="I248" s="107"/>
      <c r="J248" s="106">
        <f>IF(I248&lt;210,0,IF(I248&gt;593,(200+(I248-593)*2),VLOOKUP(I248,baza!$B$3:$F$202,5,1)))</f>
        <v>0</v>
      </c>
      <c r="K248" s="108"/>
      <c r="L248" s="106">
        <f>IF(K248="",0,IF(K248&gt;(-1*baza!$D$3),0,IF(K248&lt;132.11,INT(200+(132.11-K248)*5),VLOOKUP(-K248,baza!$D$1:$F$203,3,1))))</f>
        <v>0</v>
      </c>
      <c r="M248" s="109">
        <f t="shared" si="68"/>
        <v>0</v>
      </c>
      <c r="N248" s="110">
        <f t="shared" si="69"/>
        <v>0</v>
      </c>
      <c r="O248" s="14"/>
      <c r="P248" s="9"/>
    </row>
    <row r="249" spans="1:16" ht="18" thickTop="1" thickBot="1">
      <c r="A249" s="7"/>
      <c r="B249" s="61">
        <f>szkoły!C70</f>
        <v>0</v>
      </c>
      <c r="C249" s="105"/>
      <c r="D249" s="106">
        <f>IF(C249&gt;="",0,IF(C249&gt;12.75,0,IF(C249&lt;7.38,(200+(7.38-C249)*100),VLOOKUP(-C249,baza!$E$3:$F$202,2,1))))</f>
        <v>0</v>
      </c>
      <c r="E249" s="105"/>
      <c r="F249" s="106">
        <f>IF(E249&lt;8,0,IF(E249&gt;77,(200+(E249-77)*2),VLOOKUP(E249,baza!$H$3:$J$202,3,0)))</f>
        <v>0</v>
      </c>
      <c r="G249" s="107"/>
      <c r="H249" s="106">
        <f>IF(G249&lt;80,0,IF(G249&gt;179,200+(G249-179),VLOOKUP(G249,baza!$I:$J,2,0)))</f>
        <v>0</v>
      </c>
      <c r="I249" s="107"/>
      <c r="J249" s="106">
        <f>IF(I249&lt;210,0,IF(I249&gt;593,(200+(I249-593)*2),VLOOKUP(I249,baza!$B$3:$F$202,5,1)))</f>
        <v>0</v>
      </c>
      <c r="K249" s="108"/>
      <c r="L249" s="106">
        <f>IF(K249="",0,IF(K249&gt;(-1*baza!$D$3),0,IF(K249&lt;132.11,INT(200+(132.11-K249)*5),VLOOKUP(-K249,baza!$D$1:$F$203,3,1))))</f>
        <v>0</v>
      </c>
      <c r="M249" s="109">
        <f t="shared" si="68"/>
        <v>0</v>
      </c>
      <c r="N249" s="110">
        <f t="shared" si="69"/>
        <v>0</v>
      </c>
      <c r="O249" s="14"/>
      <c r="P249" s="9"/>
    </row>
    <row r="250" spans="1:16" ht="18" thickTop="1" thickBot="1">
      <c r="A250" s="7"/>
      <c r="B250" s="61">
        <f>szkoły!C71</f>
        <v>0</v>
      </c>
      <c r="C250" s="105"/>
      <c r="D250" s="106">
        <f>IF(C250&gt;="",0,IF(C250&gt;12.75,0,IF(C250&lt;7.38,(200+(7.38-C250)*100),VLOOKUP(-C250,baza!$E$3:$F$202,2,1))))</f>
        <v>0</v>
      </c>
      <c r="E250" s="105"/>
      <c r="F250" s="106">
        <f>IF(E250&lt;8,0,IF(E250&gt;77,(200+(E250-77)*2),VLOOKUP(E250,baza!$H$3:$J$202,3,0)))</f>
        <v>0</v>
      </c>
      <c r="G250" s="107"/>
      <c r="H250" s="106">
        <f>IF(G250&lt;80,0,IF(G250&gt;179,200+(G250-179),VLOOKUP(G250,baza!$I:$J,2,0)))</f>
        <v>0</v>
      </c>
      <c r="I250" s="107"/>
      <c r="J250" s="106">
        <f>IF(I250&lt;210,0,IF(I250&gt;593,(200+(I250-593)*2),VLOOKUP(I250,baza!$B$3:$F$202,5,1)))</f>
        <v>0</v>
      </c>
      <c r="K250" s="108"/>
      <c r="L250" s="106">
        <f>IF(K250="",0,IF(K250&gt;(-1*baza!$D$3),0,IF(K250&lt;132.11,INT(200+(132.11-K250)*5),VLOOKUP(-K250,baza!$D$1:$F$203,3,1))))</f>
        <v>0</v>
      </c>
      <c r="M250" s="109">
        <f t="shared" si="68"/>
        <v>0</v>
      </c>
      <c r="N250" s="110">
        <f t="shared" si="69"/>
        <v>0</v>
      </c>
      <c r="O250" s="15">
        <f>SUM(M246:M251)</f>
        <v>0</v>
      </c>
      <c r="P250" s="8" t="s">
        <v>1716</v>
      </c>
    </row>
    <row r="251" spans="1:16" ht="18" thickTop="1" thickBot="1">
      <c r="A251" s="7"/>
      <c r="B251" s="61">
        <f>szkoły!C72</f>
        <v>0</v>
      </c>
      <c r="C251" s="105"/>
      <c r="D251" s="106">
        <f>IF(C251&gt;="",0,IF(C251&gt;12.75,0,IF(C251&lt;7.38,(200+(7.38-C251)*100),VLOOKUP(-C251,baza!$E$3:$F$202,2,1))))</f>
        <v>0</v>
      </c>
      <c r="E251" s="105"/>
      <c r="F251" s="106">
        <f>IF(E251&lt;8,0,IF(E251&gt;77,(200+(E251-77)*2),VLOOKUP(E251,baza!$H$3:$J$202,3,0)))</f>
        <v>0</v>
      </c>
      <c r="G251" s="107"/>
      <c r="H251" s="106">
        <f>IF(G251&lt;80,0,IF(G251&gt;179,200+(G251-179),VLOOKUP(G251,baza!$I:$J,2,0)))</f>
        <v>0</v>
      </c>
      <c r="I251" s="107"/>
      <c r="J251" s="106">
        <f>IF(I251&lt;210,0,IF(I251&gt;593,(200+(I251-593)*2),VLOOKUP(I251,baza!$B$3:$F$202,5,1)))</f>
        <v>0</v>
      </c>
      <c r="K251" s="108"/>
      <c r="L251" s="106">
        <f>IF(K251="",0,IF(K251&gt;(-1*baza!$D$3),0,IF(K251&lt;132.11,INT(200+(132.11-K251)*5),VLOOKUP(-K251,baza!$D$1:$F$203,3,1))))</f>
        <v>0</v>
      </c>
      <c r="M251" s="109">
        <f t="shared" si="68"/>
        <v>0</v>
      </c>
      <c r="N251" s="110">
        <f t="shared" si="69"/>
        <v>0</v>
      </c>
      <c r="O251" s="15">
        <f>IF(COUNT(N246:N251)&lt;6,SUM(N246:N251),SUM(N246:N251)-MIN(N246:N251))</f>
        <v>0</v>
      </c>
      <c r="P251" s="8" t="s">
        <v>1718</v>
      </c>
    </row>
    <row r="252" spans="1:16" ht="16.5" thickTop="1" thickBot="1">
      <c r="A252" s="13">
        <f>szkoły!D66</f>
        <v>0</v>
      </c>
      <c r="B252" s="60" t="s">
        <v>1713</v>
      </c>
      <c r="C252" s="21" t="s">
        <v>1710</v>
      </c>
      <c r="D252" s="21" t="s">
        <v>1714</v>
      </c>
      <c r="E252" s="24" t="s">
        <v>1715</v>
      </c>
      <c r="F252" s="21" t="s">
        <v>1714</v>
      </c>
      <c r="G252" s="23" t="s">
        <v>1712</v>
      </c>
      <c r="H252" s="21" t="s">
        <v>1714</v>
      </c>
      <c r="I252" s="23" t="s">
        <v>1708</v>
      </c>
      <c r="J252" s="21" t="s">
        <v>1714</v>
      </c>
      <c r="K252" s="25" t="s">
        <v>1724</v>
      </c>
      <c r="L252" s="21" t="s">
        <v>1714</v>
      </c>
      <c r="M252" s="22" t="s">
        <v>1716</v>
      </c>
      <c r="N252" s="22" t="s">
        <v>1717</v>
      </c>
      <c r="O252" s="14"/>
      <c r="P252" s="9"/>
    </row>
    <row r="253" spans="1:16" ht="18" thickTop="1" thickBot="1">
      <c r="A253" s="10"/>
      <c r="B253" s="61">
        <f>szkoły!D67</f>
        <v>0</v>
      </c>
      <c r="C253" s="105"/>
      <c r="D253" s="106">
        <f>IF(C253&gt;="",0,IF(C253&gt;12.75,0,IF(C253&lt;7.38,(200+(7.38-C253)*100),VLOOKUP(-C253,baza!$E$3:$F$202,2,1))))</f>
        <v>0</v>
      </c>
      <c r="E253" s="105"/>
      <c r="F253" s="106">
        <f>IF(E253&lt;8,0,IF(E253&gt;77,(200+(E253-77)*2),VLOOKUP(E253,baza!$H$3:$J$202,3,0)))</f>
        <v>0</v>
      </c>
      <c r="G253" s="107"/>
      <c r="H253" s="106">
        <f>IF(G253&lt;80,0,IF(G253&gt;179,200+(G253-179),VLOOKUP(G253,baza!$I:$J,2,0)))</f>
        <v>0</v>
      </c>
      <c r="I253" s="107"/>
      <c r="J253" s="106">
        <f>IF(I253&lt;210,0,IF(I253&gt;593,(200+(I253-593)*2),VLOOKUP(I253,baza!$B$3:$F$202,5,1)))</f>
        <v>0</v>
      </c>
      <c r="K253" s="108"/>
      <c r="L253" s="106">
        <f>IF(K253="",0,IF(K253&gt;(-1*baza!$D$3),0,IF(K253&lt;132.11,INT(200+(132.11-K253)*5),VLOOKUP(-K253,baza!$D$1:$F$203,3,1))))</f>
        <v>0</v>
      </c>
      <c r="M253" s="109">
        <f t="shared" ref="M253:M258" si="70">(D253+F253+H253+J253)</f>
        <v>0</v>
      </c>
      <c r="N253" s="110">
        <f t="shared" ref="N253:N258" si="71">M253+L253</f>
        <v>0</v>
      </c>
      <c r="O253" s="14"/>
      <c r="P253" s="9"/>
    </row>
    <row r="254" spans="1:16" ht="18" thickTop="1" thickBot="1">
      <c r="A254" s="29" t="str">
        <f>O257 &amp; "  " &amp; "I DZIEŃ"</f>
        <v>0  I DZIEŃ</v>
      </c>
      <c r="B254" s="61">
        <f>szkoły!D68</f>
        <v>0</v>
      </c>
      <c r="C254" s="105"/>
      <c r="D254" s="106">
        <f>IF(C254&gt;="",0,IF(C254&gt;12.75,0,IF(C254&lt;7.38,(200+(7.38-C254)*100),VLOOKUP(-C254,baza!$E$3:$F$202,2,1))))</f>
        <v>0</v>
      </c>
      <c r="E254" s="105"/>
      <c r="F254" s="106">
        <f>IF(E254&lt;8,0,IF(E254&gt;77,(200+(E254-77)*2),VLOOKUP(E254,baza!$H$3:$J$202,3,0)))</f>
        <v>0</v>
      </c>
      <c r="G254" s="107"/>
      <c r="H254" s="106">
        <f>IF(G254&lt;80,0,IF(G254&gt;179,200+(G254-179),VLOOKUP(G254,baza!$I:$J,2,0)))</f>
        <v>0</v>
      </c>
      <c r="I254" s="107"/>
      <c r="J254" s="106">
        <f>IF(I254&lt;210,0,IF(I254&gt;593,(200+(I254-593)*2),VLOOKUP(I254,baza!$B$3:$F$202,5,1)))</f>
        <v>0</v>
      </c>
      <c r="K254" s="108"/>
      <c r="L254" s="106">
        <f>IF(K254="",0,IF(K254&gt;(-1*baza!$D$3),0,IF(K254&lt;132.11,INT(200+(132.11-K254)*5),VLOOKUP(-K254,baza!$D$1:$F$203,3,1))))</f>
        <v>0</v>
      </c>
      <c r="M254" s="109">
        <f t="shared" si="70"/>
        <v>0</v>
      </c>
      <c r="N254" s="110">
        <f t="shared" si="71"/>
        <v>0</v>
      </c>
      <c r="O254" s="14"/>
      <c r="P254" s="9"/>
    </row>
    <row r="255" spans="1:16" ht="18" thickTop="1" thickBot="1">
      <c r="A255" s="29" t="str">
        <f>O258 &amp; "  " &amp; "II DZIEŃ"</f>
        <v>0  II DZIEŃ</v>
      </c>
      <c r="B255" s="61">
        <f>szkoły!D69</f>
        <v>0</v>
      </c>
      <c r="C255" s="105"/>
      <c r="D255" s="106">
        <f>IF(C255&gt;="",0,IF(C255&gt;12.75,0,IF(C255&lt;7.38,(200+(7.38-C255)*100),VLOOKUP(-C255,baza!$E$3:$F$202,2,1))))</f>
        <v>0</v>
      </c>
      <c r="E255" s="105"/>
      <c r="F255" s="106">
        <f>IF(E255&lt;8,0,IF(E255&gt;77,(200+(E255-77)*2),VLOOKUP(E255,baza!$H$3:$J$202,3,0)))</f>
        <v>0</v>
      </c>
      <c r="G255" s="107"/>
      <c r="H255" s="106">
        <f>IF(G255&lt;80,0,IF(G255&gt;179,200+(G255-179),VLOOKUP(G255,baza!$I:$J,2,0)))</f>
        <v>0</v>
      </c>
      <c r="I255" s="107"/>
      <c r="J255" s="106">
        <f>IF(I255&lt;210,0,IF(I255&gt;593,(200+(I255-593)*2),VLOOKUP(I255,baza!$B$3:$F$202,5,1)))</f>
        <v>0</v>
      </c>
      <c r="K255" s="108"/>
      <c r="L255" s="106">
        <f>IF(K255="",0,IF(K255&gt;(-1*baza!$D$3),0,IF(K255&lt;132.11,INT(200+(132.11-K255)*5),VLOOKUP(-K255,baza!$D$1:$F$203,3,1))))</f>
        <v>0</v>
      </c>
      <c r="M255" s="109">
        <f t="shared" si="70"/>
        <v>0</v>
      </c>
      <c r="N255" s="110">
        <f t="shared" si="71"/>
        <v>0</v>
      </c>
      <c r="O255" s="14"/>
      <c r="P255" s="9"/>
    </row>
    <row r="256" spans="1:16" ht="18" thickTop="1" thickBot="1">
      <c r="A256" s="10"/>
      <c r="B256" s="61">
        <f>szkoły!D70</f>
        <v>0</v>
      </c>
      <c r="C256" s="105"/>
      <c r="D256" s="106">
        <f>IF(C256&gt;="",0,IF(C256&gt;12.75,0,IF(C256&lt;7.38,(200+(7.38-C256)*100),VLOOKUP(-C256,baza!$E$3:$F$202,2,1))))</f>
        <v>0</v>
      </c>
      <c r="E256" s="105"/>
      <c r="F256" s="106">
        <f>IF(E256&lt;8,0,IF(E256&gt;77,(200+(E256-77)*2),VLOOKUP(E256,baza!$H$3:$J$202,3,0)))</f>
        <v>0</v>
      </c>
      <c r="G256" s="107"/>
      <c r="H256" s="106">
        <f>IF(G256&lt;80,0,IF(G256&gt;179,200+(G256-179),VLOOKUP(G256,baza!$I:$J,2,0)))</f>
        <v>0</v>
      </c>
      <c r="I256" s="107"/>
      <c r="J256" s="106">
        <f>IF(I256&lt;210,0,IF(I256&gt;593,(200+(I256-593)*2),VLOOKUP(I256,baza!$B$3:$F$202,5,1)))</f>
        <v>0</v>
      </c>
      <c r="K256" s="108"/>
      <c r="L256" s="106">
        <f>IF(K256="",0,IF(K256&gt;(-1*baza!$D$3),0,IF(K256&lt;132.11,INT(200+(132.11-K256)*5),VLOOKUP(-K256,baza!$D$1:$F$203,3,1))))</f>
        <v>0</v>
      </c>
      <c r="M256" s="109">
        <f t="shared" si="70"/>
        <v>0</v>
      </c>
      <c r="N256" s="110">
        <f t="shared" si="71"/>
        <v>0</v>
      </c>
      <c r="O256" s="14"/>
      <c r="P256" s="9"/>
    </row>
    <row r="257" spans="1:16" ht="18" thickTop="1" thickBot="1">
      <c r="A257" s="10"/>
      <c r="B257" s="61">
        <f>szkoły!D71</f>
        <v>0</v>
      </c>
      <c r="C257" s="105"/>
      <c r="D257" s="106">
        <f>IF(C257&gt;="",0,IF(C257&gt;12.75,0,IF(C257&lt;7.38,(200+(7.38-C257)*100),VLOOKUP(-C257,baza!$E$3:$F$202,2,1))))</f>
        <v>0</v>
      </c>
      <c r="E257" s="105"/>
      <c r="F257" s="106">
        <f>IF(E257&lt;8,0,IF(E257&gt;77,(200+(E257-77)*2),VLOOKUP(E257,baza!$H$3:$J$202,3,0)))</f>
        <v>0</v>
      </c>
      <c r="G257" s="107"/>
      <c r="H257" s="106">
        <f>IF(G257&lt;80,0,IF(G257&gt;179,200+(G257-179),VLOOKUP(G257,baza!$I:$J,2,0)))</f>
        <v>0</v>
      </c>
      <c r="I257" s="107"/>
      <c r="J257" s="106">
        <f>IF(I257&lt;210,0,IF(I257&gt;593,(200+(I257-593)*2),VLOOKUP(I257,baza!$B$3:$F$202,5,1)))</f>
        <v>0</v>
      </c>
      <c r="K257" s="108"/>
      <c r="L257" s="106">
        <f>IF(K257="",0,IF(K257&gt;(-1*baza!$D$3),0,IF(K257&lt;132.11,INT(200+(132.11-K257)*5),VLOOKUP(-K257,baza!$D$1:$F$203,3,1))))</f>
        <v>0</v>
      </c>
      <c r="M257" s="109">
        <f t="shared" si="70"/>
        <v>0</v>
      </c>
      <c r="N257" s="110">
        <f t="shared" si="71"/>
        <v>0</v>
      </c>
      <c r="O257" s="15">
        <f>SUM(M253:M258)</f>
        <v>0</v>
      </c>
      <c r="P257" s="8" t="s">
        <v>1716</v>
      </c>
    </row>
    <row r="258" spans="1:16" ht="18" thickTop="1" thickBot="1">
      <c r="A258" s="10"/>
      <c r="B258" s="61">
        <f>szkoły!D72</f>
        <v>0</v>
      </c>
      <c r="C258" s="105"/>
      <c r="D258" s="106">
        <f>IF(C258&gt;="",0,IF(C258&gt;12.75,0,IF(C258&lt;7.38,(200+(7.38-C258)*100),VLOOKUP(-C258,baza!$E$3:$F$202,2,1))))</f>
        <v>0</v>
      </c>
      <c r="E258" s="105"/>
      <c r="F258" s="106">
        <f>IF(E258&lt;8,0,IF(E258&gt;77,(200+(E258-77)*2),VLOOKUP(E258,baza!$H$3:$J$202,3,0)))</f>
        <v>0</v>
      </c>
      <c r="G258" s="107"/>
      <c r="H258" s="106">
        <f>IF(G258&lt;80,0,IF(G258&gt;179,200+(G258-179),VLOOKUP(G258,baza!$I:$J,2,0)))</f>
        <v>0</v>
      </c>
      <c r="I258" s="107"/>
      <c r="J258" s="106">
        <f>IF(I258&lt;210,0,IF(I258&gt;593,(200+(I258-593)*2),VLOOKUP(I258,baza!$B$3:$F$202,5,1)))</f>
        <v>0</v>
      </c>
      <c r="K258" s="108"/>
      <c r="L258" s="106">
        <f>IF(K258="",0,IF(K258&gt;(-1*baza!$D$3),0,IF(K258&lt;132.11,INT(200+(132.11-K258)*5),VLOOKUP(-K258,baza!$D$1:$F$203,3,1))))</f>
        <v>0</v>
      </c>
      <c r="M258" s="109">
        <f t="shared" si="70"/>
        <v>0</v>
      </c>
      <c r="N258" s="110">
        <f t="shared" si="71"/>
        <v>0</v>
      </c>
      <c r="O258" s="15">
        <f>IF(COUNT(N253:N258)&lt;6,SUM(N253:N258),SUM(N253:N258)-MIN(N253:N258))</f>
        <v>0</v>
      </c>
      <c r="P258" s="8" t="s">
        <v>1718</v>
      </c>
    </row>
    <row r="259" spans="1:16" ht="16.5" thickTop="1" thickBot="1">
      <c r="A259" s="13">
        <f>szkoły!A74</f>
        <v>0</v>
      </c>
      <c r="B259" s="60" t="s">
        <v>1713</v>
      </c>
      <c r="C259" s="21" t="s">
        <v>1710</v>
      </c>
      <c r="D259" s="21" t="s">
        <v>1714</v>
      </c>
      <c r="E259" s="24" t="s">
        <v>1715</v>
      </c>
      <c r="F259" s="21" t="s">
        <v>1714</v>
      </c>
      <c r="G259" s="23" t="s">
        <v>1712</v>
      </c>
      <c r="H259" s="21" t="s">
        <v>1714</v>
      </c>
      <c r="I259" s="23" t="s">
        <v>1708</v>
      </c>
      <c r="J259" s="21" t="s">
        <v>1714</v>
      </c>
      <c r="K259" s="25" t="s">
        <v>1724</v>
      </c>
      <c r="L259" s="21" t="s">
        <v>1714</v>
      </c>
      <c r="M259" s="22" t="s">
        <v>1716</v>
      </c>
      <c r="N259" s="22" t="s">
        <v>1717</v>
      </c>
      <c r="O259" s="14"/>
      <c r="P259" s="9"/>
    </row>
    <row r="260" spans="1:16" ht="18" thickTop="1" thickBot="1">
      <c r="A260" s="7"/>
      <c r="B260" s="61">
        <f>szkoły!A75</f>
        <v>0</v>
      </c>
      <c r="C260" s="105"/>
      <c r="D260" s="106">
        <f>IF(C260&gt;="",0,IF(C260&gt;12.75,0,IF(C260&lt;7.38,(200+(7.38-C260)*100),VLOOKUP(-C260,baza!$E$3:$F$202,2,1))))</f>
        <v>0</v>
      </c>
      <c r="E260" s="105"/>
      <c r="F260" s="106">
        <f>IF(E260&lt;8,0,IF(E260&gt;77,(200+(E260-77)*2),VLOOKUP(E260,baza!$H$3:$J$202,3,0)))</f>
        <v>0</v>
      </c>
      <c r="G260" s="107"/>
      <c r="H260" s="106">
        <f>IF(G260&lt;80,0,IF(G260&gt;179,200+(G260-179),VLOOKUP(G260,baza!$I:$J,2,0)))</f>
        <v>0</v>
      </c>
      <c r="I260" s="107"/>
      <c r="J260" s="106">
        <f>IF(I260&lt;210,0,IF(I260&gt;593,(200+(I260-593)*2),VLOOKUP(I260,baza!$B$3:$F$202,5,1)))</f>
        <v>0</v>
      </c>
      <c r="K260" s="108"/>
      <c r="L260" s="106">
        <f>IF(K260="",0,IF(K260&gt;(-1*baza!$D$3),0,IF(K260&lt;132.11,INT(200+(132.11-K260)*5),VLOOKUP(-K260,baza!$D$1:$F$203,3,1))))</f>
        <v>0</v>
      </c>
      <c r="M260" s="109">
        <f t="shared" ref="M260:M265" si="72">(D260+F260+H260+J260)</f>
        <v>0</v>
      </c>
      <c r="N260" s="110">
        <f t="shared" ref="N260:N265" si="73">M260+L260</f>
        <v>0</v>
      </c>
      <c r="O260" s="14"/>
      <c r="P260" s="9"/>
    </row>
    <row r="261" spans="1:16" ht="18" thickTop="1" thickBot="1">
      <c r="A261" s="29" t="str">
        <f>O264 &amp; "  " &amp; "I DZIEŃ"</f>
        <v>0  I DZIEŃ</v>
      </c>
      <c r="B261" s="61">
        <f>szkoły!A76</f>
        <v>0</v>
      </c>
      <c r="C261" s="105"/>
      <c r="D261" s="106">
        <f>IF(C261&gt;="",0,IF(C261&gt;12.75,0,IF(C261&lt;7.38,(200+(7.38-C261)*100),VLOOKUP(-C261,baza!$E$3:$F$202,2,1))))</f>
        <v>0</v>
      </c>
      <c r="E261" s="105"/>
      <c r="F261" s="106">
        <f>IF(E261&lt;8,0,IF(E261&gt;77,(200+(E261-77)*2),VLOOKUP(E261,baza!$H$3:$J$202,3,0)))</f>
        <v>0</v>
      </c>
      <c r="G261" s="107"/>
      <c r="H261" s="106">
        <f>IF(G261&lt;80,0,IF(G261&gt;179,200+(G261-179),VLOOKUP(G261,baza!$I:$J,2,0)))</f>
        <v>0</v>
      </c>
      <c r="I261" s="107"/>
      <c r="J261" s="106">
        <f>IF(I261&lt;210,0,IF(I261&gt;593,(200+(I261-593)*2),VLOOKUP(I261,baza!$B$3:$F$202,5,1)))</f>
        <v>0</v>
      </c>
      <c r="K261" s="108"/>
      <c r="L261" s="106">
        <f>IF(K261="",0,IF(K261&gt;(-1*baza!$D$3),0,IF(K261&lt;132.11,INT(200+(132.11-K261)*5),VLOOKUP(-K261,baza!$D$1:$F$203,3,1))))</f>
        <v>0</v>
      </c>
      <c r="M261" s="109">
        <f t="shared" si="72"/>
        <v>0</v>
      </c>
      <c r="N261" s="110">
        <f t="shared" si="73"/>
        <v>0</v>
      </c>
      <c r="O261" s="14"/>
      <c r="P261" s="9"/>
    </row>
    <row r="262" spans="1:16" ht="18" thickTop="1" thickBot="1">
      <c r="A262" s="29" t="str">
        <f>O265 &amp; "  " &amp; "II DZIEŃ"</f>
        <v>0  II DZIEŃ</v>
      </c>
      <c r="B262" s="61">
        <f>szkoły!A77</f>
        <v>0</v>
      </c>
      <c r="C262" s="105"/>
      <c r="D262" s="106">
        <f>IF(C262&gt;="",0,IF(C262&gt;12.75,0,IF(C262&lt;7.38,(200+(7.38-C262)*100),VLOOKUP(-C262,baza!$E$3:$F$202,2,1))))</f>
        <v>0</v>
      </c>
      <c r="E262" s="105"/>
      <c r="F262" s="106">
        <f>IF(E262&lt;8,0,IF(E262&gt;77,(200+(E262-77)*2),VLOOKUP(E262,baza!$H$3:$J$202,3,0)))</f>
        <v>0</v>
      </c>
      <c r="G262" s="107"/>
      <c r="H262" s="106">
        <f>IF(G262&lt;80,0,IF(G262&gt;179,200+(G262-179),VLOOKUP(G262,baza!$I:$J,2,0)))</f>
        <v>0</v>
      </c>
      <c r="I262" s="107"/>
      <c r="J262" s="106">
        <f>IF(I262&lt;210,0,IF(I262&gt;593,(200+(I262-593)*2),VLOOKUP(I262,baza!$B$3:$F$202,5,1)))</f>
        <v>0</v>
      </c>
      <c r="K262" s="108"/>
      <c r="L262" s="106">
        <f>IF(K262="",0,IF(K262&gt;(-1*baza!$D$3),0,IF(K262&lt;132.11,INT(200+(132.11-K262)*5),VLOOKUP(-K262,baza!$D$1:$F$203,3,1))))</f>
        <v>0</v>
      </c>
      <c r="M262" s="109">
        <f t="shared" si="72"/>
        <v>0</v>
      </c>
      <c r="N262" s="110">
        <f t="shared" si="73"/>
        <v>0</v>
      </c>
      <c r="O262" s="14"/>
      <c r="P262" s="9"/>
    </row>
    <row r="263" spans="1:16" ht="18" thickTop="1" thickBot="1">
      <c r="A263" s="7"/>
      <c r="B263" s="61">
        <f>szkoły!A78</f>
        <v>0</v>
      </c>
      <c r="C263" s="105"/>
      <c r="D263" s="106">
        <f>IF(C263&gt;="",0,IF(C263&gt;12.75,0,IF(C263&lt;7.38,(200+(7.38-C263)*100),VLOOKUP(-C263,baza!$E$3:$F$202,2,1))))</f>
        <v>0</v>
      </c>
      <c r="E263" s="105"/>
      <c r="F263" s="106">
        <f>IF(E263&lt;8,0,IF(E263&gt;77,(200+(E263-77)*2),VLOOKUP(E263,baza!$H$3:$J$202,3,0)))</f>
        <v>0</v>
      </c>
      <c r="G263" s="107"/>
      <c r="H263" s="106">
        <f>IF(G263&lt;80,0,IF(G263&gt;179,200+(G263-179),VLOOKUP(G263,baza!$I:$J,2,0)))</f>
        <v>0</v>
      </c>
      <c r="I263" s="107"/>
      <c r="J263" s="106">
        <f>IF(I263&lt;210,0,IF(I263&gt;593,(200+(I263-593)*2),VLOOKUP(I263,baza!$B$3:$F$202,5,1)))</f>
        <v>0</v>
      </c>
      <c r="K263" s="108"/>
      <c r="L263" s="106">
        <f>IF(K263="",0,IF(K263&gt;(-1*baza!$D$3),0,IF(K263&lt;132.11,INT(200+(132.11-K263)*5),VLOOKUP(-K263,baza!$D$1:$F$203,3,1))))</f>
        <v>0</v>
      </c>
      <c r="M263" s="109">
        <f t="shared" si="72"/>
        <v>0</v>
      </c>
      <c r="N263" s="110">
        <f t="shared" si="73"/>
        <v>0</v>
      </c>
      <c r="O263" s="14"/>
      <c r="P263" s="9"/>
    </row>
    <row r="264" spans="1:16" ht="18" thickTop="1" thickBot="1">
      <c r="A264" s="7"/>
      <c r="B264" s="61">
        <f>szkoły!A79</f>
        <v>0</v>
      </c>
      <c r="C264" s="105"/>
      <c r="D264" s="106">
        <f>IF(C264&gt;="",0,IF(C264&gt;12.75,0,IF(C264&lt;7.38,(200+(7.38-C264)*100),VLOOKUP(-C264,baza!$E$3:$F$202,2,1))))</f>
        <v>0</v>
      </c>
      <c r="E264" s="105"/>
      <c r="F264" s="106">
        <f>IF(E264&lt;8,0,IF(E264&gt;77,(200+(E264-77)*2),VLOOKUP(E264,baza!$H$3:$J$202,3,0)))</f>
        <v>0</v>
      </c>
      <c r="G264" s="107"/>
      <c r="H264" s="106">
        <f>IF(G264&lt;80,0,IF(G264&gt;179,200+(G264-179),VLOOKUP(G264,baza!$I:$J,2,0)))</f>
        <v>0</v>
      </c>
      <c r="I264" s="107"/>
      <c r="J264" s="106">
        <f>IF(I264&lt;210,0,IF(I264&gt;593,(200+(I264-593)*2),VLOOKUP(I264,baza!$B$3:$F$202,5,1)))</f>
        <v>0</v>
      </c>
      <c r="K264" s="108"/>
      <c r="L264" s="106">
        <f>IF(K264="",0,IF(K264&gt;(-1*baza!$D$3),0,IF(K264&lt;132.11,INT(200+(132.11-K264)*5),VLOOKUP(-K264,baza!$D$1:$F$203,3,1))))</f>
        <v>0</v>
      </c>
      <c r="M264" s="109">
        <f t="shared" si="72"/>
        <v>0</v>
      </c>
      <c r="N264" s="110">
        <f t="shared" si="73"/>
        <v>0</v>
      </c>
      <c r="O264" s="15">
        <f>SUM(M260:M265)</f>
        <v>0</v>
      </c>
      <c r="P264" s="8" t="s">
        <v>1716</v>
      </c>
    </row>
    <row r="265" spans="1:16" ht="18" thickTop="1" thickBot="1">
      <c r="A265" s="7"/>
      <c r="B265" s="61">
        <f>szkoły!A80</f>
        <v>0</v>
      </c>
      <c r="C265" s="105"/>
      <c r="D265" s="106">
        <f>IF(C265&gt;="",0,IF(C265&gt;12.75,0,IF(C265&lt;7.38,(200+(7.38-C265)*100),VLOOKUP(-C265,baza!$E$3:$F$202,2,1))))</f>
        <v>0</v>
      </c>
      <c r="E265" s="105"/>
      <c r="F265" s="106">
        <f>IF(E265&lt;8,0,IF(E265&gt;77,(200+(E265-77)*2),VLOOKUP(E265,baza!$H$3:$J$202,3,0)))</f>
        <v>0</v>
      </c>
      <c r="G265" s="107"/>
      <c r="H265" s="106">
        <f>IF(G265&lt;80,0,IF(G265&gt;179,200+(G265-179),VLOOKUP(G265,baza!$I:$J,2,0)))</f>
        <v>0</v>
      </c>
      <c r="I265" s="107"/>
      <c r="J265" s="106">
        <f>IF(I265&lt;210,0,IF(I265&gt;593,(200+(I265-593)*2),VLOOKUP(I265,baza!$B$3:$F$202,5,1)))</f>
        <v>0</v>
      </c>
      <c r="K265" s="108"/>
      <c r="L265" s="106">
        <f>IF(K265="",0,IF(K265&gt;(-1*baza!$D$3),0,IF(K265&lt;132.11,INT(200+(132.11-K265)*5),VLOOKUP(-K265,baza!$D$1:$F$203,3,1))))</f>
        <v>0</v>
      </c>
      <c r="M265" s="109">
        <f t="shared" si="72"/>
        <v>0</v>
      </c>
      <c r="N265" s="110">
        <f t="shared" si="73"/>
        <v>0</v>
      </c>
      <c r="O265" s="15">
        <f>IF(COUNT(N260:N265)&lt;6,SUM(N260:N265),SUM(N260:N265)-MIN(N260:N265))</f>
        <v>0</v>
      </c>
      <c r="P265" s="8" t="s">
        <v>1718</v>
      </c>
    </row>
    <row r="266" spans="1:16" ht="16.5" thickTop="1" thickBot="1">
      <c r="A266" s="13">
        <f>szkoły!B74</f>
        <v>0</v>
      </c>
      <c r="B266" s="60" t="s">
        <v>1713</v>
      </c>
      <c r="C266" s="21" t="s">
        <v>1710</v>
      </c>
      <c r="D266" s="21" t="s">
        <v>1714</v>
      </c>
      <c r="E266" s="24" t="s">
        <v>1715</v>
      </c>
      <c r="F266" s="21" t="s">
        <v>1714</v>
      </c>
      <c r="G266" s="23" t="s">
        <v>1712</v>
      </c>
      <c r="H266" s="21" t="s">
        <v>1714</v>
      </c>
      <c r="I266" s="23" t="s">
        <v>1708</v>
      </c>
      <c r="J266" s="21" t="s">
        <v>1714</v>
      </c>
      <c r="K266" s="25" t="s">
        <v>1724</v>
      </c>
      <c r="L266" s="21" t="s">
        <v>1714</v>
      </c>
      <c r="M266" s="22" t="s">
        <v>1716</v>
      </c>
      <c r="N266" s="22" t="s">
        <v>1717</v>
      </c>
      <c r="O266" s="14"/>
      <c r="P266" s="9"/>
    </row>
    <row r="267" spans="1:16" ht="18" thickTop="1" thickBot="1">
      <c r="A267" s="10"/>
      <c r="B267" s="61">
        <f>szkoły!B75</f>
        <v>0</v>
      </c>
      <c r="C267" s="105"/>
      <c r="D267" s="106">
        <f>IF(C267&gt;="",0,IF(C267&gt;12.75,0,IF(C267&lt;7.38,(200+(7.38-C267)*100),VLOOKUP(-C267,baza!$E$3:$F$202,2,1))))</f>
        <v>0</v>
      </c>
      <c r="E267" s="105"/>
      <c r="F267" s="106">
        <f>IF(E267&lt;8,0,IF(E267&gt;77,(200+(E267-77)*2),VLOOKUP(E267,baza!$H$3:$J$202,3,0)))</f>
        <v>0</v>
      </c>
      <c r="G267" s="107"/>
      <c r="H267" s="106">
        <f>IF(G267&lt;80,0,IF(G267&gt;179,200+(G267-179),VLOOKUP(G267,baza!$I:$J,2,0)))</f>
        <v>0</v>
      </c>
      <c r="I267" s="107"/>
      <c r="J267" s="106">
        <f>IF(I267&lt;210,0,IF(I267&gt;593,(200+(I267-593)*2),VLOOKUP(I267,baza!$B$3:$F$202,5,1)))</f>
        <v>0</v>
      </c>
      <c r="K267" s="108"/>
      <c r="L267" s="106">
        <f>IF(K267="",0,IF(K267&gt;(-1*baza!$D$3),0,IF(K267&lt;132.11,INT(200+(132.11-K267)*5),VLOOKUP(-K267,baza!$D$1:$F$203,3,1))))</f>
        <v>0</v>
      </c>
      <c r="M267" s="109">
        <f t="shared" ref="M267:M272" si="74">(D267+F267+H267+J267)</f>
        <v>0</v>
      </c>
      <c r="N267" s="110">
        <f t="shared" ref="N267:N272" si="75">M267+L267</f>
        <v>0</v>
      </c>
      <c r="O267" s="14"/>
      <c r="P267" s="9"/>
    </row>
    <row r="268" spans="1:16" ht="18" thickTop="1" thickBot="1">
      <c r="A268" s="29" t="str">
        <f>O271 &amp; "  " &amp; "I DZIEŃ"</f>
        <v>0  I DZIEŃ</v>
      </c>
      <c r="B268" s="61">
        <f>szkoły!B76</f>
        <v>0</v>
      </c>
      <c r="C268" s="105"/>
      <c r="D268" s="106">
        <f>IF(C268&gt;="",0,IF(C268&gt;12.75,0,IF(C268&lt;7.38,(200+(7.38-C268)*100),VLOOKUP(-C268,baza!$E$3:$F$202,2,1))))</f>
        <v>0</v>
      </c>
      <c r="E268" s="105"/>
      <c r="F268" s="106">
        <f>IF(E268&lt;8,0,IF(E268&gt;77,(200+(E268-77)*2),VLOOKUP(E268,baza!$H$3:$J$202,3,0)))</f>
        <v>0</v>
      </c>
      <c r="G268" s="107"/>
      <c r="H268" s="106">
        <f>IF(G268&lt;80,0,IF(G268&gt;179,200+(G268-179),VLOOKUP(G268,baza!$I:$J,2,0)))</f>
        <v>0</v>
      </c>
      <c r="I268" s="107"/>
      <c r="J268" s="106">
        <f>IF(I268&lt;210,0,IF(I268&gt;593,(200+(I268-593)*2),VLOOKUP(I268,baza!$B$3:$F$202,5,1)))</f>
        <v>0</v>
      </c>
      <c r="K268" s="108"/>
      <c r="L268" s="106">
        <f>IF(K268="",0,IF(K268&gt;(-1*baza!$D$3),0,IF(K268&lt;132.11,INT(200+(132.11-K268)*5),VLOOKUP(-K268,baza!$D$1:$F$203,3,1))))</f>
        <v>0</v>
      </c>
      <c r="M268" s="109">
        <f t="shared" si="74"/>
        <v>0</v>
      </c>
      <c r="N268" s="110">
        <f t="shared" si="75"/>
        <v>0</v>
      </c>
      <c r="O268" s="14"/>
      <c r="P268" s="9"/>
    </row>
    <row r="269" spans="1:16" ht="18" thickTop="1" thickBot="1">
      <c r="A269" s="29" t="str">
        <f>O272 &amp; "  " &amp; "II DZIEŃ"</f>
        <v>0  II DZIEŃ</v>
      </c>
      <c r="B269" s="61">
        <f>szkoły!B77</f>
        <v>0</v>
      </c>
      <c r="C269" s="105"/>
      <c r="D269" s="106">
        <f>IF(C269&gt;="",0,IF(C269&gt;12.75,0,IF(C269&lt;7.38,(200+(7.38-C269)*100),VLOOKUP(-C269,baza!$E$3:$F$202,2,1))))</f>
        <v>0</v>
      </c>
      <c r="E269" s="105"/>
      <c r="F269" s="106">
        <f>IF(E269&lt;8,0,IF(E269&gt;77,(200+(E269-77)*2),VLOOKUP(E269,baza!$H$3:$J$202,3,0)))</f>
        <v>0</v>
      </c>
      <c r="G269" s="107"/>
      <c r="H269" s="106">
        <f>IF(G269&lt;80,0,IF(G269&gt;179,200+(G269-179),VLOOKUP(G269,baza!$I:$J,2,0)))</f>
        <v>0</v>
      </c>
      <c r="I269" s="107"/>
      <c r="J269" s="106">
        <f>IF(I269&lt;210,0,IF(I269&gt;593,(200+(I269-593)*2),VLOOKUP(I269,baza!$B$3:$F$202,5,1)))</f>
        <v>0</v>
      </c>
      <c r="K269" s="108"/>
      <c r="L269" s="106">
        <f>IF(K269="",0,IF(K269&gt;(-1*baza!$D$3),0,IF(K269&lt;132.11,INT(200+(132.11-K269)*5),VLOOKUP(-K269,baza!$D$1:$F$203,3,1))))</f>
        <v>0</v>
      </c>
      <c r="M269" s="109">
        <f t="shared" si="74"/>
        <v>0</v>
      </c>
      <c r="N269" s="110">
        <f t="shared" si="75"/>
        <v>0</v>
      </c>
      <c r="O269" s="14"/>
      <c r="P269" s="9"/>
    </row>
    <row r="270" spans="1:16" ht="18" thickTop="1" thickBot="1">
      <c r="A270" s="10"/>
      <c r="B270" s="61">
        <f>szkoły!B78</f>
        <v>0</v>
      </c>
      <c r="C270" s="105"/>
      <c r="D270" s="106">
        <f>IF(C270&gt;="",0,IF(C270&gt;12.75,0,IF(C270&lt;7.38,(200+(7.38-C270)*100),VLOOKUP(-C270,baza!$E$3:$F$202,2,1))))</f>
        <v>0</v>
      </c>
      <c r="E270" s="105"/>
      <c r="F270" s="106">
        <f>IF(E270&lt;8,0,IF(E270&gt;77,(200+(E270-77)*2),VLOOKUP(E270,baza!$H$3:$J$202,3,0)))</f>
        <v>0</v>
      </c>
      <c r="G270" s="107"/>
      <c r="H270" s="106">
        <f>IF(G270&lt;80,0,IF(G270&gt;179,200+(G270-179),VLOOKUP(G270,baza!$I:$J,2,0)))</f>
        <v>0</v>
      </c>
      <c r="I270" s="107"/>
      <c r="J270" s="106">
        <f>IF(I270&lt;210,0,IF(I270&gt;593,(200+(I270-593)*2),VLOOKUP(I270,baza!$B$3:$F$202,5,1)))</f>
        <v>0</v>
      </c>
      <c r="K270" s="108"/>
      <c r="L270" s="106">
        <f>IF(K270="",0,IF(K270&gt;(-1*baza!$D$3),0,IF(K270&lt;132.11,INT(200+(132.11-K270)*5),VLOOKUP(-K270,baza!$D$1:$F$203,3,1))))</f>
        <v>0</v>
      </c>
      <c r="M270" s="109">
        <f t="shared" si="74"/>
        <v>0</v>
      </c>
      <c r="N270" s="110">
        <f t="shared" si="75"/>
        <v>0</v>
      </c>
      <c r="O270" s="14"/>
      <c r="P270" s="9"/>
    </row>
    <row r="271" spans="1:16" ht="18" thickTop="1" thickBot="1">
      <c r="A271" s="10"/>
      <c r="B271" s="61">
        <f>szkoły!B79</f>
        <v>0</v>
      </c>
      <c r="C271" s="105"/>
      <c r="D271" s="106">
        <f>IF(C271&gt;="",0,IF(C271&gt;12.75,0,IF(C271&lt;7.38,(200+(7.38-C271)*100),VLOOKUP(-C271,baza!$E$3:$F$202,2,1))))</f>
        <v>0</v>
      </c>
      <c r="E271" s="105"/>
      <c r="F271" s="106">
        <f>IF(E271&lt;8,0,IF(E271&gt;77,(200+(E271-77)*2),VLOOKUP(E271,baza!$H$3:$J$202,3,0)))</f>
        <v>0</v>
      </c>
      <c r="G271" s="107"/>
      <c r="H271" s="106">
        <f>IF(G271&lt;80,0,IF(G271&gt;179,200+(G271-179),VLOOKUP(G271,baza!$I:$J,2,0)))</f>
        <v>0</v>
      </c>
      <c r="I271" s="107"/>
      <c r="J271" s="106">
        <f>IF(I271&lt;210,0,IF(I271&gt;593,(200+(I271-593)*2),VLOOKUP(I271,baza!$B$3:$F$202,5,1)))</f>
        <v>0</v>
      </c>
      <c r="K271" s="108"/>
      <c r="L271" s="106">
        <f>IF(K271="",0,IF(K271&gt;(-1*baza!$D$3),0,IF(K271&lt;132.11,INT(200+(132.11-K271)*5),VLOOKUP(-K271,baza!$D$1:$F$203,3,1))))</f>
        <v>0</v>
      </c>
      <c r="M271" s="109">
        <f t="shared" si="74"/>
        <v>0</v>
      </c>
      <c r="N271" s="110">
        <f t="shared" si="75"/>
        <v>0</v>
      </c>
      <c r="O271" s="15">
        <f>SUM(M267:M272)</f>
        <v>0</v>
      </c>
      <c r="P271" s="8" t="s">
        <v>1716</v>
      </c>
    </row>
    <row r="272" spans="1:16" ht="18" thickTop="1" thickBot="1">
      <c r="A272" s="10"/>
      <c r="B272" s="61">
        <f>szkoły!B80</f>
        <v>0</v>
      </c>
      <c r="C272" s="105"/>
      <c r="D272" s="106">
        <f>IF(C272&gt;="",0,IF(C272&gt;12.75,0,IF(C272&lt;7.38,(200+(7.38-C272)*100),VLOOKUP(-C272,baza!$E$3:$F$202,2,1))))</f>
        <v>0</v>
      </c>
      <c r="E272" s="105"/>
      <c r="F272" s="106">
        <f>IF(E272&lt;8,0,IF(E272&gt;77,(200+(E272-77)*2),VLOOKUP(E272,baza!$H$3:$J$202,3,0)))</f>
        <v>0</v>
      </c>
      <c r="G272" s="107"/>
      <c r="H272" s="106">
        <f>IF(G272&lt;80,0,IF(G272&gt;179,200+(G272-179),VLOOKUP(G272,baza!$I:$J,2,0)))</f>
        <v>0</v>
      </c>
      <c r="I272" s="107"/>
      <c r="J272" s="106">
        <f>IF(I272&lt;210,0,IF(I272&gt;593,(200+(I272-593)*2),VLOOKUP(I272,baza!$B$3:$F$202,5,1)))</f>
        <v>0</v>
      </c>
      <c r="K272" s="108"/>
      <c r="L272" s="106">
        <f>IF(K272="",0,IF(K272&gt;(-1*baza!$D$3),0,IF(K272&lt;132.11,INT(200+(132.11-K272)*5),VLOOKUP(-K272,baza!$D$1:$F$203,3,1))))</f>
        <v>0</v>
      </c>
      <c r="M272" s="109">
        <f t="shared" si="74"/>
        <v>0</v>
      </c>
      <c r="N272" s="110">
        <f t="shared" si="75"/>
        <v>0</v>
      </c>
      <c r="O272" s="15">
        <f>IF(COUNT(N267:N272)&lt;6,SUM(N267:N272),SUM(N267:N272)-MIN(N267:N272))</f>
        <v>0</v>
      </c>
      <c r="P272" s="8" t="s">
        <v>1718</v>
      </c>
    </row>
    <row r="273" spans="1:17" ht="16.5" thickTop="1" thickBot="1">
      <c r="A273" s="13">
        <f>szkoły!C74</f>
        <v>0</v>
      </c>
      <c r="B273" s="60" t="s">
        <v>1713</v>
      </c>
      <c r="C273" s="21" t="s">
        <v>1710</v>
      </c>
      <c r="D273" s="21" t="s">
        <v>1714</v>
      </c>
      <c r="E273" s="24" t="s">
        <v>1715</v>
      </c>
      <c r="F273" s="21" t="s">
        <v>1714</v>
      </c>
      <c r="G273" s="23" t="s">
        <v>1712</v>
      </c>
      <c r="H273" s="21" t="s">
        <v>1714</v>
      </c>
      <c r="I273" s="23" t="s">
        <v>1708</v>
      </c>
      <c r="J273" s="21" t="s">
        <v>1714</v>
      </c>
      <c r="K273" s="25" t="s">
        <v>1724</v>
      </c>
      <c r="L273" s="21" t="s">
        <v>1714</v>
      </c>
      <c r="M273" s="22" t="s">
        <v>1716</v>
      </c>
      <c r="N273" s="22" t="s">
        <v>1717</v>
      </c>
      <c r="O273" s="14"/>
      <c r="P273" s="9"/>
    </row>
    <row r="274" spans="1:17" ht="18" thickTop="1" thickBot="1">
      <c r="A274" s="7"/>
      <c r="B274" s="61">
        <f>szkoły!C75</f>
        <v>0</v>
      </c>
      <c r="C274" s="105"/>
      <c r="D274" s="106">
        <f>IF(C274&gt;="",0,IF(C274&gt;12.75,0,IF(C274&lt;7.38,(200+(7.38-C274)*100),VLOOKUP(-C274,baza!$E$3:$F$202,2,1))))</f>
        <v>0</v>
      </c>
      <c r="E274" s="105"/>
      <c r="F274" s="106">
        <f>IF(E274&lt;8,0,IF(E274&gt;77,(200+(E274-77)*2),VLOOKUP(E274,baza!$H$3:$J$202,3,0)))</f>
        <v>0</v>
      </c>
      <c r="G274" s="107"/>
      <c r="H274" s="106">
        <f>IF(G274&lt;80,0,IF(G274&gt;179,200+(G274-179),VLOOKUP(G274,baza!$I:$J,2,0)))</f>
        <v>0</v>
      </c>
      <c r="I274" s="107"/>
      <c r="J274" s="106">
        <f>IF(I274&lt;210,0,IF(I274&gt;593,(200+(I274-593)*2),VLOOKUP(I274,baza!$B$3:$F$202,5,1)))</f>
        <v>0</v>
      </c>
      <c r="K274" s="108"/>
      <c r="L274" s="106">
        <f>IF(K274="",0,IF(K274&gt;(-1*baza!$D$3),0,IF(K274&lt;132.11,INT(200+(132.11-K274)*5),VLOOKUP(-K274,baza!$D$1:$F$203,3,1))))</f>
        <v>0</v>
      </c>
      <c r="M274" s="109">
        <f t="shared" ref="M274:M279" si="76">(D274+F274+H274+J274)</f>
        <v>0</v>
      </c>
      <c r="N274" s="110">
        <f t="shared" ref="N274:N279" si="77">M274+L274</f>
        <v>0</v>
      </c>
      <c r="O274" s="14"/>
      <c r="P274" s="9"/>
    </row>
    <row r="275" spans="1:17" ht="18" thickTop="1" thickBot="1">
      <c r="A275" s="29" t="str">
        <f>O278 &amp; "  " &amp; "I DZIEŃ"</f>
        <v>0  I DZIEŃ</v>
      </c>
      <c r="B275" s="61">
        <f>szkoły!C76</f>
        <v>0</v>
      </c>
      <c r="C275" s="105"/>
      <c r="D275" s="106">
        <f>IF(C275&gt;="",0,IF(C275&gt;12.75,0,IF(C275&lt;7.38,(200+(7.38-C275)*100),VLOOKUP(-C275,baza!$E$3:$F$202,2,1))))</f>
        <v>0</v>
      </c>
      <c r="E275" s="105"/>
      <c r="F275" s="106">
        <f>IF(E275&lt;8,0,IF(E275&gt;77,(200+(E275-77)*2),VLOOKUP(E275,baza!$H$3:$J$202,3,0)))</f>
        <v>0</v>
      </c>
      <c r="G275" s="107"/>
      <c r="H275" s="106">
        <f>IF(G275&lt;80,0,IF(G275&gt;179,200+(G275-179),VLOOKUP(G275,baza!$I:$J,2,0)))</f>
        <v>0</v>
      </c>
      <c r="I275" s="107"/>
      <c r="J275" s="106">
        <f>IF(I275&lt;210,0,IF(I275&gt;593,(200+(I275-593)*2),VLOOKUP(I275,baza!$B$3:$F$202,5,1)))</f>
        <v>0</v>
      </c>
      <c r="K275" s="108"/>
      <c r="L275" s="106">
        <f>IF(K275="",0,IF(K275&gt;(-1*baza!$D$3),0,IF(K275&lt;132.11,INT(200+(132.11-K275)*5),VLOOKUP(-K275,baza!$D$1:$F$203,3,1))))</f>
        <v>0</v>
      </c>
      <c r="M275" s="109">
        <f t="shared" si="76"/>
        <v>0</v>
      </c>
      <c r="N275" s="110">
        <f t="shared" si="77"/>
        <v>0</v>
      </c>
      <c r="O275" s="14"/>
      <c r="P275" s="9"/>
    </row>
    <row r="276" spans="1:17" ht="18" thickTop="1" thickBot="1">
      <c r="A276" s="29" t="str">
        <f>O279 &amp; "  " &amp; "II DZIEŃ"</f>
        <v>0  II DZIEŃ</v>
      </c>
      <c r="B276" s="61">
        <f>szkoły!C77</f>
        <v>0</v>
      </c>
      <c r="C276" s="105"/>
      <c r="D276" s="106">
        <f>IF(C276&gt;="",0,IF(C276&gt;12.75,0,IF(C276&lt;7.38,(200+(7.38-C276)*100),VLOOKUP(-C276,baza!$E$3:$F$202,2,1))))</f>
        <v>0</v>
      </c>
      <c r="E276" s="105"/>
      <c r="F276" s="106">
        <f>IF(E276&lt;8,0,IF(E276&gt;77,(200+(E276-77)*2),VLOOKUP(E276,baza!$H$3:$J$202,3,0)))</f>
        <v>0</v>
      </c>
      <c r="G276" s="107"/>
      <c r="H276" s="106">
        <f>IF(G276&lt;80,0,IF(G276&gt;179,200+(G276-179),VLOOKUP(G276,baza!$I:$J,2,0)))</f>
        <v>0</v>
      </c>
      <c r="I276" s="107"/>
      <c r="J276" s="106">
        <f>IF(I276&lt;210,0,IF(I276&gt;593,(200+(I276-593)*2),VLOOKUP(I276,baza!$B$3:$F$202,5,1)))</f>
        <v>0</v>
      </c>
      <c r="K276" s="108"/>
      <c r="L276" s="106">
        <f>IF(K276="",0,IF(K276&gt;(-1*baza!$D$3),0,IF(K276&lt;132.11,INT(200+(132.11-K276)*5),VLOOKUP(-K276,baza!$D$1:$F$203,3,1))))</f>
        <v>0</v>
      </c>
      <c r="M276" s="109">
        <f t="shared" si="76"/>
        <v>0</v>
      </c>
      <c r="N276" s="110">
        <f t="shared" si="77"/>
        <v>0</v>
      </c>
      <c r="O276" s="14"/>
      <c r="P276" s="9"/>
    </row>
    <row r="277" spans="1:17" ht="18" thickTop="1" thickBot="1">
      <c r="A277" s="7"/>
      <c r="B277" s="61">
        <f>szkoły!C78</f>
        <v>0</v>
      </c>
      <c r="C277" s="105"/>
      <c r="D277" s="106">
        <f>IF(C277&gt;="",0,IF(C277&gt;12.75,0,IF(C277&lt;7.38,(200+(7.38-C277)*100),VLOOKUP(-C277,baza!$E$3:$F$202,2,1))))</f>
        <v>0</v>
      </c>
      <c r="E277" s="105"/>
      <c r="F277" s="106">
        <f>IF(E277&lt;8,0,IF(E277&gt;77,(200+(E277-77)*2),VLOOKUP(E277,baza!$H$3:$J$202,3,0)))</f>
        <v>0</v>
      </c>
      <c r="G277" s="107"/>
      <c r="H277" s="106">
        <f>IF(G277&lt;80,0,IF(G277&gt;179,200+(G277-179),VLOOKUP(G277,baza!$I:$J,2,0)))</f>
        <v>0</v>
      </c>
      <c r="I277" s="107"/>
      <c r="J277" s="106">
        <f>IF(I277&lt;210,0,IF(I277&gt;593,(200+(I277-593)*2),VLOOKUP(I277,baza!$B$3:$F$202,5,1)))</f>
        <v>0</v>
      </c>
      <c r="K277" s="108"/>
      <c r="L277" s="106">
        <f>IF(K277="",0,IF(K277&gt;(-1*baza!$D$3),0,IF(K277&lt;132.11,INT(200+(132.11-K277)*5),VLOOKUP(-K277,baza!$D$1:$F$203,3,1))))</f>
        <v>0</v>
      </c>
      <c r="M277" s="109">
        <f t="shared" si="76"/>
        <v>0</v>
      </c>
      <c r="N277" s="110">
        <f t="shared" si="77"/>
        <v>0</v>
      </c>
      <c r="O277" s="14"/>
      <c r="P277" s="9"/>
    </row>
    <row r="278" spans="1:17" ht="18" thickTop="1" thickBot="1">
      <c r="A278" s="7"/>
      <c r="B278" s="61">
        <f>szkoły!C79</f>
        <v>0</v>
      </c>
      <c r="C278" s="105"/>
      <c r="D278" s="106">
        <f>IF(C278&gt;="",0,IF(C278&gt;12.75,0,IF(C278&lt;7.38,(200+(7.38-C278)*100),VLOOKUP(-C278,baza!$E$3:$F$202,2,1))))</f>
        <v>0</v>
      </c>
      <c r="E278" s="105"/>
      <c r="F278" s="106">
        <f>IF(E278&lt;8,0,IF(E278&gt;77,(200+(E278-77)*2),VLOOKUP(E278,baza!$H$3:$J$202,3,0)))</f>
        <v>0</v>
      </c>
      <c r="G278" s="107"/>
      <c r="H278" s="106">
        <f>IF(G278&lt;80,0,IF(G278&gt;179,200+(G278-179),VLOOKUP(G278,baza!$I:$J,2,0)))</f>
        <v>0</v>
      </c>
      <c r="I278" s="107"/>
      <c r="J278" s="106">
        <f>IF(I278&lt;210,0,IF(I278&gt;593,(200+(I278-593)*2),VLOOKUP(I278,baza!$B$3:$F$202,5,1)))</f>
        <v>0</v>
      </c>
      <c r="K278" s="108"/>
      <c r="L278" s="106">
        <f>IF(K278="",0,IF(K278&gt;(-1*baza!$D$3),0,IF(K278&lt;132.11,INT(200+(132.11-K278)*5),VLOOKUP(-K278,baza!$D$1:$F$203,3,1))))</f>
        <v>0</v>
      </c>
      <c r="M278" s="109">
        <f t="shared" si="76"/>
        <v>0</v>
      </c>
      <c r="N278" s="110">
        <f t="shared" si="77"/>
        <v>0</v>
      </c>
      <c r="O278" s="15">
        <f>SUM(M274:M279)</f>
        <v>0</v>
      </c>
      <c r="P278" s="8" t="s">
        <v>1716</v>
      </c>
    </row>
    <row r="279" spans="1:17" ht="18" thickTop="1" thickBot="1">
      <c r="A279" s="7"/>
      <c r="B279" s="61">
        <f>szkoły!C80</f>
        <v>0</v>
      </c>
      <c r="C279" s="105"/>
      <c r="D279" s="106">
        <f>IF(C279&gt;="",0,IF(C279&gt;12.75,0,IF(C279&lt;7.38,(200+(7.38-C279)*100),VLOOKUP(-C279,baza!$E$3:$F$202,2,1))))</f>
        <v>0</v>
      </c>
      <c r="E279" s="105"/>
      <c r="F279" s="106">
        <f>IF(E279&lt;8,0,IF(E279&gt;77,(200+(E279-77)*2),VLOOKUP(E279,baza!$H$3:$J$202,3,0)))</f>
        <v>0</v>
      </c>
      <c r="G279" s="107"/>
      <c r="H279" s="106">
        <f>IF(G279&lt;80,0,IF(G279&gt;179,200+(G279-179),VLOOKUP(G279,baza!$I:$J,2,0)))</f>
        <v>0</v>
      </c>
      <c r="I279" s="107"/>
      <c r="J279" s="106">
        <f>IF(I279&lt;210,0,IF(I279&gt;593,(200+(I279-593)*2),VLOOKUP(I279,baza!$B$3:$F$202,5,1)))</f>
        <v>0</v>
      </c>
      <c r="K279" s="108"/>
      <c r="L279" s="106">
        <f>IF(K279="",0,IF(K279&gt;(-1*baza!$D$3),0,IF(K279&lt;132.11,INT(200+(132.11-K279)*5),VLOOKUP(-K279,baza!$D$1:$F$203,3,1))))</f>
        <v>0</v>
      </c>
      <c r="M279" s="109">
        <f t="shared" si="76"/>
        <v>0</v>
      </c>
      <c r="N279" s="110">
        <f t="shared" si="77"/>
        <v>0</v>
      </c>
      <c r="O279" s="15">
        <f>IF(COUNT(N274:N279)&lt;6,SUM(N274:N279),SUM(N274:N279)-MIN(N274:N279))</f>
        <v>0</v>
      </c>
      <c r="P279" s="8" t="s">
        <v>1718</v>
      </c>
    </row>
    <row r="280" spans="1:17" ht="16.5" thickTop="1" thickBot="1">
      <c r="A280" s="13">
        <f>szkoły!D74</f>
        <v>0</v>
      </c>
      <c r="B280" s="60" t="s">
        <v>1713</v>
      </c>
      <c r="C280" s="21" t="s">
        <v>1710</v>
      </c>
      <c r="D280" s="21" t="s">
        <v>1714</v>
      </c>
      <c r="E280" s="24" t="s">
        <v>1715</v>
      </c>
      <c r="F280" s="21" t="s">
        <v>1714</v>
      </c>
      <c r="G280" s="23" t="s">
        <v>1712</v>
      </c>
      <c r="H280" s="21" t="s">
        <v>1714</v>
      </c>
      <c r="I280" s="23" t="s">
        <v>1708</v>
      </c>
      <c r="J280" s="21" t="s">
        <v>1714</v>
      </c>
      <c r="K280" s="25" t="s">
        <v>1724</v>
      </c>
      <c r="L280" s="21" t="s">
        <v>1714</v>
      </c>
      <c r="M280" s="22" t="s">
        <v>1716</v>
      </c>
      <c r="N280" s="22" t="s">
        <v>1717</v>
      </c>
      <c r="O280" s="14"/>
      <c r="P280" s="9"/>
    </row>
    <row r="281" spans="1:17" ht="18" thickTop="1" thickBot="1">
      <c r="A281" s="10"/>
      <c r="B281" s="61">
        <f>szkoły!D75</f>
        <v>0</v>
      </c>
      <c r="C281" s="105"/>
      <c r="D281" s="106">
        <f>IF(C281&gt;="",0,IF(C281&gt;12.75,0,IF(C281&lt;7.38,(200+(7.38-C281)*100),VLOOKUP(-C281,baza!$E$3:$F$202,2,1))))</f>
        <v>0</v>
      </c>
      <c r="E281" s="105"/>
      <c r="F281" s="106">
        <f>IF(E281&lt;8,0,IF(E281&gt;77,(200+(E281-77)*2),VLOOKUP(E281,baza!$H$3:$J$202,3,0)))</f>
        <v>0</v>
      </c>
      <c r="G281" s="107"/>
      <c r="H281" s="106">
        <f>IF(G281&lt;80,0,IF(G281&gt;179,200+(G281-179),VLOOKUP(G281,baza!$I:$J,2,0)))</f>
        <v>0</v>
      </c>
      <c r="I281" s="107"/>
      <c r="J281" s="106">
        <f>IF(I281&lt;210,0,IF(I281&gt;593,(200+(I281-593)*2),VLOOKUP(I281,baza!$B$3:$F$202,5,1)))</f>
        <v>0</v>
      </c>
      <c r="K281" s="108"/>
      <c r="L281" s="106">
        <f>IF(K281="",0,IF(K281&gt;(-1*baza!$D$3),0,IF(K281&lt;132.11,INT(200+(132.11-K281)*5),VLOOKUP(-K281,baza!$D$1:$F$203,3,1))))</f>
        <v>0</v>
      </c>
      <c r="M281" s="109">
        <f t="shared" ref="M281:M286" si="78">(D281+F281+H281+J281)</f>
        <v>0</v>
      </c>
      <c r="N281" s="110">
        <f t="shared" ref="N281:N286" si="79">M281+L281</f>
        <v>0</v>
      </c>
      <c r="O281" s="14"/>
      <c r="P281" s="9"/>
    </row>
    <row r="282" spans="1:17" ht="18" thickTop="1" thickBot="1">
      <c r="A282" s="29" t="str">
        <f>O285 &amp; "  " &amp; "I DZIEŃ"</f>
        <v>0  I DZIEŃ</v>
      </c>
      <c r="B282" s="61">
        <f>szkoły!D76</f>
        <v>0</v>
      </c>
      <c r="C282" s="105"/>
      <c r="D282" s="106">
        <f>IF(C282&gt;="",0,IF(C282&gt;12.75,0,IF(C282&lt;7.38,(200+(7.38-C282)*100),VLOOKUP(-C282,baza!$E$3:$F$202,2,1))))</f>
        <v>0</v>
      </c>
      <c r="E282" s="105"/>
      <c r="F282" s="106">
        <f>IF(E282&lt;8,0,IF(E282&gt;77,(200+(E282-77)*2),VLOOKUP(E282,baza!$H$3:$J$202,3,0)))</f>
        <v>0</v>
      </c>
      <c r="G282" s="107"/>
      <c r="H282" s="106">
        <f>IF(G282&lt;80,0,IF(G282&gt;179,200+(G282-179),VLOOKUP(G282,baza!$I:$J,2,0)))</f>
        <v>0</v>
      </c>
      <c r="I282" s="107"/>
      <c r="J282" s="106">
        <f>IF(I282&lt;210,0,IF(I282&gt;593,(200+(I282-593)*2),VLOOKUP(I282,baza!$B$3:$F$202,5,1)))</f>
        <v>0</v>
      </c>
      <c r="K282" s="108"/>
      <c r="L282" s="106">
        <f>IF(K282="",0,IF(K282&gt;(-1*baza!$D$3),0,IF(K282&lt;132.11,INT(200+(132.11-K282)*5),VLOOKUP(-K282,baza!$D$1:$F$203,3,1))))</f>
        <v>0</v>
      </c>
      <c r="M282" s="109">
        <f t="shared" si="78"/>
        <v>0</v>
      </c>
      <c r="N282" s="110">
        <f t="shared" si="79"/>
        <v>0</v>
      </c>
      <c r="O282" s="14"/>
      <c r="P282" s="9"/>
    </row>
    <row r="283" spans="1:17" ht="18" thickTop="1" thickBot="1">
      <c r="A283" s="29" t="str">
        <f>O286 &amp; "  " &amp; "II DZIEŃ"</f>
        <v>0  II DZIEŃ</v>
      </c>
      <c r="B283" s="61">
        <f>szkoły!D77</f>
        <v>0</v>
      </c>
      <c r="C283" s="105"/>
      <c r="D283" s="106">
        <f>IF(C283&gt;="",0,IF(C283&gt;12.75,0,IF(C283&lt;7.38,(200+(7.38-C283)*100),VLOOKUP(-C283,baza!$E$3:$F$202,2,1))))</f>
        <v>0</v>
      </c>
      <c r="E283" s="105"/>
      <c r="F283" s="106">
        <f>IF(E283&lt;8,0,IF(E283&gt;77,(200+(E283-77)*2),VLOOKUP(E283,baza!$H$3:$J$202,3,0)))</f>
        <v>0</v>
      </c>
      <c r="G283" s="107"/>
      <c r="H283" s="106">
        <f>IF(G283&lt;80,0,IF(G283&gt;179,200+(G283-179),VLOOKUP(G283,baza!$I:$J,2,0)))</f>
        <v>0</v>
      </c>
      <c r="I283" s="107"/>
      <c r="J283" s="106">
        <f>IF(I283&lt;210,0,IF(I283&gt;593,(200+(I283-593)*2),VLOOKUP(I283,baza!$B$3:$F$202,5,1)))</f>
        <v>0</v>
      </c>
      <c r="K283" s="108"/>
      <c r="L283" s="106">
        <f>IF(K283="",0,IF(K283&gt;(-1*baza!$D$3),0,IF(K283&lt;132.11,INT(200+(132.11-K283)*5),VLOOKUP(-K283,baza!$D$1:$F$203,3,1))))</f>
        <v>0</v>
      </c>
      <c r="M283" s="109">
        <f t="shared" si="78"/>
        <v>0</v>
      </c>
      <c r="N283" s="110">
        <f t="shared" si="79"/>
        <v>0</v>
      </c>
      <c r="O283" s="14"/>
      <c r="P283" s="9"/>
    </row>
    <row r="284" spans="1:17" ht="18" thickTop="1" thickBot="1">
      <c r="A284" s="10"/>
      <c r="B284" s="61">
        <f>szkoły!D78</f>
        <v>0</v>
      </c>
      <c r="C284" s="105"/>
      <c r="D284" s="106">
        <f>IF(C284&gt;="",0,IF(C284&gt;12.75,0,IF(C284&lt;7.38,(200+(7.38-C284)*100),VLOOKUP(-C284,baza!$E$3:$F$202,2,1))))</f>
        <v>0</v>
      </c>
      <c r="E284" s="105"/>
      <c r="F284" s="106">
        <f>IF(E284&lt;8,0,IF(E284&gt;77,(200+(E284-77)*2),VLOOKUP(E284,baza!$H$3:$J$202,3,0)))</f>
        <v>0</v>
      </c>
      <c r="G284" s="107"/>
      <c r="H284" s="106">
        <f>IF(G284&lt;80,0,IF(G284&gt;179,200+(G284-179),VLOOKUP(G284,baza!$I:$J,2,0)))</f>
        <v>0</v>
      </c>
      <c r="I284" s="107"/>
      <c r="J284" s="106">
        <f>IF(I284&lt;210,0,IF(I284&gt;593,(200+(I284-593)*2),VLOOKUP(I284,baza!$B$3:$F$202,5,1)))</f>
        <v>0</v>
      </c>
      <c r="K284" s="108"/>
      <c r="L284" s="106">
        <f>IF(K284="",0,IF(K284&gt;(-1*baza!$D$3),0,IF(K284&lt;132.11,INT(200+(132.11-K284)*5),VLOOKUP(-K284,baza!$D$1:$F$203,3,1))))</f>
        <v>0</v>
      </c>
      <c r="M284" s="109">
        <f t="shared" si="78"/>
        <v>0</v>
      </c>
      <c r="N284" s="110">
        <f t="shared" si="79"/>
        <v>0</v>
      </c>
      <c r="O284" s="14"/>
      <c r="P284" s="9"/>
    </row>
    <row r="285" spans="1:17" ht="18" thickTop="1" thickBot="1">
      <c r="A285" s="10"/>
      <c r="B285" s="61">
        <f>szkoły!D79</f>
        <v>0</v>
      </c>
      <c r="C285" s="105"/>
      <c r="D285" s="106">
        <f>IF(C285&gt;="",0,IF(C285&gt;12.75,0,IF(C285&lt;7.38,(200+(7.38-C285)*100),VLOOKUP(-C285,baza!$E$3:$F$202,2,1))))</f>
        <v>0</v>
      </c>
      <c r="E285" s="105"/>
      <c r="F285" s="106">
        <f>IF(E285&lt;8,0,IF(E285&gt;77,(200+(E285-77)*2),VLOOKUP(E285,baza!$H$3:$J$202,3,0)))</f>
        <v>0</v>
      </c>
      <c r="G285" s="107"/>
      <c r="H285" s="106">
        <f>IF(G285&lt;80,0,IF(G285&gt;179,200+(G285-179),VLOOKUP(G285,baza!$I:$J,2,0)))</f>
        <v>0</v>
      </c>
      <c r="I285" s="107"/>
      <c r="J285" s="106">
        <f>IF(I285&lt;210,0,IF(I285&gt;593,(200+(I285-593)*2),VLOOKUP(I285,baza!$B$3:$F$202,5,1)))</f>
        <v>0</v>
      </c>
      <c r="K285" s="108"/>
      <c r="L285" s="106">
        <f>IF(K285="",0,IF(K285&gt;(-1*baza!$D$3),0,IF(K285&lt;132.11,INT(200+(132.11-K285)*5),VLOOKUP(-K285,baza!$D$1:$F$203,3,1))))</f>
        <v>0</v>
      </c>
      <c r="M285" s="109">
        <f t="shared" si="78"/>
        <v>0</v>
      </c>
      <c r="N285" s="110">
        <f t="shared" si="79"/>
        <v>0</v>
      </c>
      <c r="O285" s="15">
        <f>SUM(M281:M286)</f>
        <v>0</v>
      </c>
      <c r="P285" s="8" t="s">
        <v>1716</v>
      </c>
    </row>
    <row r="286" spans="1:17" ht="18" thickTop="1" thickBot="1">
      <c r="A286" s="12"/>
      <c r="B286" s="61">
        <f>szkoły!D80</f>
        <v>0</v>
      </c>
      <c r="C286" s="105"/>
      <c r="D286" s="106">
        <f>IF(C286&gt;="",0,IF(C286&gt;12.75,0,IF(C286&lt;7.38,(200+(7.38-C286)*100),VLOOKUP(-C286,baza!$E$3:$F$202,2,1))))</f>
        <v>0</v>
      </c>
      <c r="E286" s="105"/>
      <c r="F286" s="106">
        <f>IF(E286&lt;8,0,IF(E286&gt;77,(200+(E286-77)*2),VLOOKUP(E286,baza!$H$3:$J$202,3,0)))</f>
        <v>0</v>
      </c>
      <c r="G286" s="107"/>
      <c r="H286" s="106">
        <f>IF(G286&lt;80,0,IF(G286&gt;179,200+(G286-179),VLOOKUP(G286,baza!$I:$J,2,0)))</f>
        <v>0</v>
      </c>
      <c r="I286" s="107"/>
      <c r="J286" s="106">
        <f>IF(I286&lt;210,0,IF(I286&gt;593,(200+(I286-593)*2),VLOOKUP(I286,baza!$B$3:$F$202,5,1)))</f>
        <v>0</v>
      </c>
      <c r="K286" s="108"/>
      <c r="L286" s="106">
        <f>IF(K286="",0,IF(K286&gt;(-1*baza!$D$3),0,IF(K286&lt;132.11,INT(200+(132.11-K286)*5),VLOOKUP(-K286,baza!$D$1:$F$203,3,1))))</f>
        <v>0</v>
      </c>
      <c r="M286" s="109">
        <f t="shared" si="78"/>
        <v>0</v>
      </c>
      <c r="N286" s="110">
        <f t="shared" si="79"/>
        <v>0</v>
      </c>
      <c r="O286" s="15">
        <f>IF(COUNT(N281:N286)&lt;6,SUM(N281:N286),SUM(N281:N286)-MIN(N281:N286))</f>
        <v>0</v>
      </c>
      <c r="P286" s="8" t="s">
        <v>1718</v>
      </c>
    </row>
    <row r="287" spans="1:17" ht="15.75" thickTop="1">
      <c r="A287" s="11"/>
      <c r="B287" s="62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1"/>
      <c r="N287" s="111"/>
      <c r="O287" s="16"/>
      <c r="P287" s="11"/>
      <c r="Q287" s="11"/>
    </row>
    <row r="288" spans="1:17">
      <c r="A288" s="11"/>
      <c r="B288" s="62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1"/>
      <c r="N288" s="111"/>
      <c r="O288" s="16"/>
      <c r="P288" s="11"/>
      <c r="Q288" s="11"/>
    </row>
    <row r="289" spans="1:16">
      <c r="A289" s="9"/>
      <c r="B289" s="63"/>
      <c r="C289" s="113"/>
      <c r="D289" s="104"/>
      <c r="E289" s="104"/>
      <c r="F289" s="104"/>
      <c r="G289" s="104"/>
      <c r="H289" s="104"/>
      <c r="I289" s="104"/>
      <c r="J289" s="104"/>
      <c r="K289" s="104"/>
      <c r="L289" s="104"/>
      <c r="M289" s="113"/>
      <c r="N289" s="113"/>
      <c r="O289" s="14"/>
      <c r="P289" s="9"/>
    </row>
    <row r="290" spans="1:16">
      <c r="A290" s="9"/>
      <c r="B290" s="63"/>
      <c r="C290" s="113"/>
      <c r="D290" s="104"/>
      <c r="E290" s="104"/>
      <c r="F290" s="104"/>
      <c r="G290" s="104"/>
      <c r="H290" s="104"/>
      <c r="I290" s="104"/>
      <c r="J290" s="104"/>
      <c r="K290" s="104"/>
      <c r="L290" s="104"/>
      <c r="M290" s="113"/>
      <c r="N290" s="113"/>
      <c r="O290" s="14"/>
      <c r="P290" s="9"/>
    </row>
    <row r="291" spans="1:16">
      <c r="A291" s="9"/>
      <c r="B291" s="63"/>
      <c r="C291" s="113"/>
      <c r="D291" s="104"/>
      <c r="E291" s="104"/>
      <c r="F291" s="104"/>
      <c r="G291" s="104"/>
      <c r="H291" s="104"/>
      <c r="I291" s="104"/>
      <c r="J291" s="104"/>
      <c r="K291" s="104"/>
      <c r="L291" s="104"/>
      <c r="M291" s="113"/>
      <c r="N291" s="113"/>
      <c r="O291" s="14"/>
      <c r="P291" s="9"/>
    </row>
    <row r="292" spans="1:16">
      <c r="A292" s="9"/>
      <c r="B292" s="63"/>
      <c r="C292" s="113"/>
      <c r="D292" s="104"/>
      <c r="E292" s="104"/>
      <c r="F292" s="104"/>
      <c r="G292" s="104"/>
      <c r="H292" s="104"/>
      <c r="I292" s="104"/>
      <c r="J292" s="104"/>
      <c r="K292" s="104"/>
      <c r="L292" s="104"/>
      <c r="M292" s="113"/>
      <c r="N292" s="113"/>
      <c r="O292" s="14"/>
      <c r="P292" s="9"/>
    </row>
    <row r="293" spans="1:16">
      <c r="A293" s="9"/>
      <c r="B293" s="63"/>
      <c r="C293" s="113"/>
      <c r="D293" s="104"/>
      <c r="E293" s="104"/>
      <c r="F293" s="104"/>
      <c r="G293" s="104"/>
      <c r="H293" s="104"/>
      <c r="I293" s="104"/>
      <c r="J293" s="104"/>
      <c r="K293" s="104"/>
      <c r="L293" s="104"/>
      <c r="M293" s="113"/>
      <c r="N293" s="113"/>
      <c r="O293" s="14"/>
      <c r="P293" s="9"/>
    </row>
    <row r="294" spans="1:16">
      <c r="A294" s="9"/>
      <c r="B294" s="63"/>
      <c r="C294" s="113"/>
      <c r="D294" s="104"/>
      <c r="E294" s="104"/>
      <c r="F294" s="104"/>
      <c r="G294" s="104"/>
      <c r="H294" s="104"/>
      <c r="I294" s="104"/>
      <c r="J294" s="104"/>
      <c r="K294" s="104"/>
      <c r="L294" s="104"/>
      <c r="M294" s="113"/>
      <c r="N294" s="113"/>
      <c r="O294" s="14"/>
      <c r="P294" s="9"/>
    </row>
    <row r="295" spans="1:16">
      <c r="A295" s="9"/>
      <c r="B295" s="63"/>
      <c r="C295" s="113"/>
      <c r="D295" s="104"/>
      <c r="E295" s="104"/>
      <c r="F295" s="104"/>
      <c r="G295" s="104"/>
      <c r="H295" s="104"/>
      <c r="I295" s="104"/>
      <c r="J295" s="104"/>
      <c r="K295" s="104"/>
      <c r="L295" s="104"/>
      <c r="M295" s="113"/>
      <c r="N295" s="113"/>
      <c r="O295" s="14"/>
      <c r="P295" s="9"/>
    </row>
    <row r="296" spans="1:16">
      <c r="A296" s="9"/>
      <c r="B296" s="63"/>
      <c r="C296" s="113"/>
      <c r="D296" s="104"/>
      <c r="E296" s="104"/>
      <c r="F296" s="104"/>
      <c r="G296" s="104"/>
      <c r="H296" s="104"/>
      <c r="I296" s="104"/>
      <c r="J296" s="104"/>
      <c r="K296" s="104"/>
      <c r="L296" s="104"/>
      <c r="M296" s="113"/>
      <c r="N296" s="113"/>
      <c r="O296" s="14"/>
      <c r="P296" s="9"/>
    </row>
    <row r="297" spans="1:16">
      <c r="A297" s="9"/>
      <c r="B297" s="63"/>
      <c r="C297" s="113"/>
      <c r="D297" s="104"/>
      <c r="E297" s="104"/>
      <c r="F297" s="104"/>
      <c r="G297" s="104"/>
      <c r="H297" s="104"/>
      <c r="I297" s="104"/>
      <c r="J297" s="104"/>
      <c r="K297" s="104"/>
      <c r="L297" s="104"/>
      <c r="M297" s="113"/>
      <c r="N297" s="113"/>
      <c r="O297" s="14"/>
      <c r="P297" s="9"/>
    </row>
    <row r="298" spans="1:16">
      <c r="A298" s="9"/>
      <c r="B298" s="63"/>
      <c r="C298" s="113"/>
      <c r="D298" s="104"/>
      <c r="E298" s="104"/>
      <c r="F298" s="104"/>
      <c r="G298" s="104"/>
      <c r="H298" s="104"/>
      <c r="I298" s="104"/>
      <c r="J298" s="104"/>
      <c r="K298" s="104"/>
      <c r="L298" s="104"/>
      <c r="M298" s="113"/>
      <c r="N298" s="113"/>
      <c r="O298" s="14"/>
      <c r="P298" s="9"/>
    </row>
    <row r="299" spans="1:16">
      <c r="A299" s="9"/>
      <c r="B299" s="63"/>
      <c r="C299" s="113"/>
      <c r="D299" s="104"/>
      <c r="E299" s="104"/>
      <c r="F299" s="104"/>
      <c r="G299" s="104"/>
      <c r="H299" s="104"/>
      <c r="I299" s="104"/>
      <c r="J299" s="104"/>
      <c r="K299" s="104"/>
      <c r="L299" s="104"/>
      <c r="M299" s="113"/>
      <c r="N299" s="113"/>
      <c r="O299" s="14"/>
      <c r="P299" s="9"/>
    </row>
    <row r="300" spans="1:16">
      <c r="A300" s="9"/>
      <c r="B300" s="63"/>
      <c r="C300" s="113"/>
      <c r="D300" s="104"/>
      <c r="E300" s="104"/>
      <c r="F300" s="104"/>
      <c r="G300" s="104"/>
      <c r="H300" s="104"/>
      <c r="I300" s="104"/>
      <c r="J300" s="104"/>
      <c r="K300" s="104"/>
      <c r="L300" s="104"/>
      <c r="M300" s="113"/>
      <c r="N300" s="113"/>
      <c r="O300" s="14"/>
      <c r="P300" s="9"/>
    </row>
    <row r="301" spans="1:16">
      <c r="A301" s="9"/>
      <c r="B301" s="63"/>
      <c r="C301" s="113"/>
      <c r="D301" s="104"/>
      <c r="E301" s="104"/>
      <c r="F301" s="104"/>
      <c r="G301" s="104"/>
      <c r="H301" s="104"/>
      <c r="I301" s="104"/>
      <c r="J301" s="104"/>
      <c r="K301" s="104"/>
      <c r="L301" s="104"/>
      <c r="M301" s="113"/>
      <c r="N301" s="113"/>
      <c r="O301" s="14"/>
      <c r="P301" s="9"/>
    </row>
    <row r="302" spans="1:16">
      <c r="A302" s="9"/>
      <c r="B302" s="63"/>
      <c r="C302" s="113"/>
      <c r="D302" s="104"/>
      <c r="E302" s="104"/>
      <c r="F302" s="104"/>
      <c r="G302" s="104"/>
      <c r="H302" s="104"/>
      <c r="I302" s="104"/>
      <c r="J302" s="104"/>
      <c r="K302" s="104"/>
      <c r="L302" s="104"/>
      <c r="M302" s="113"/>
      <c r="N302" s="113"/>
      <c r="O302" s="14"/>
      <c r="P302" s="9"/>
    </row>
    <row r="303" spans="1:16">
      <c r="A303" s="9"/>
      <c r="B303" s="63"/>
      <c r="C303" s="113"/>
      <c r="D303" s="104"/>
      <c r="E303" s="104"/>
      <c r="F303" s="104"/>
      <c r="G303" s="104"/>
      <c r="H303" s="104"/>
      <c r="I303" s="104"/>
      <c r="J303" s="104"/>
      <c r="K303" s="104"/>
      <c r="L303" s="104"/>
      <c r="M303" s="113"/>
      <c r="N303" s="113"/>
      <c r="O303" s="14"/>
      <c r="P303" s="9"/>
    </row>
    <row r="304" spans="1:16">
      <c r="A304" s="9"/>
      <c r="B304" s="63"/>
      <c r="C304" s="113"/>
      <c r="D304" s="104"/>
      <c r="E304" s="104"/>
      <c r="F304" s="104"/>
      <c r="G304" s="104"/>
      <c r="H304" s="104"/>
      <c r="I304" s="104"/>
      <c r="J304" s="104"/>
      <c r="K304" s="104"/>
      <c r="L304" s="104"/>
      <c r="M304" s="113"/>
      <c r="N304" s="113"/>
      <c r="O304" s="14"/>
      <c r="P304" s="9"/>
    </row>
    <row r="305" spans="1:16">
      <c r="A305" s="9"/>
      <c r="B305" s="63"/>
      <c r="C305" s="113"/>
      <c r="D305" s="104"/>
      <c r="E305" s="104"/>
      <c r="F305" s="104"/>
      <c r="G305" s="104"/>
      <c r="H305" s="104"/>
      <c r="I305" s="104"/>
      <c r="J305" s="104"/>
      <c r="K305" s="104"/>
      <c r="L305" s="104"/>
      <c r="M305" s="113"/>
      <c r="N305" s="113"/>
      <c r="O305" s="14"/>
      <c r="P305" s="9"/>
    </row>
    <row r="306" spans="1:16">
      <c r="A306" s="9"/>
      <c r="B306" s="63"/>
      <c r="C306" s="113"/>
      <c r="D306" s="104"/>
      <c r="E306" s="104"/>
      <c r="F306" s="104"/>
      <c r="G306" s="104"/>
      <c r="H306" s="104"/>
      <c r="I306" s="104"/>
      <c r="J306" s="104"/>
      <c r="K306" s="104"/>
      <c r="L306" s="104"/>
      <c r="M306" s="113"/>
      <c r="N306" s="113"/>
      <c r="O306" s="14"/>
      <c r="P306" s="9"/>
    </row>
    <row r="307" spans="1:16">
      <c r="A307" s="9"/>
      <c r="B307" s="63"/>
      <c r="C307" s="113"/>
      <c r="D307" s="104"/>
      <c r="E307" s="104"/>
      <c r="F307" s="104"/>
      <c r="G307" s="104"/>
      <c r="H307" s="104"/>
      <c r="I307" s="104"/>
      <c r="J307" s="104"/>
      <c r="K307" s="104"/>
      <c r="L307" s="104"/>
      <c r="M307" s="113"/>
      <c r="N307" s="113"/>
      <c r="O307" s="14"/>
      <c r="P307" s="9"/>
    </row>
    <row r="308" spans="1:16">
      <c r="A308" s="9"/>
      <c r="B308" s="63"/>
      <c r="C308" s="113"/>
      <c r="D308" s="104"/>
      <c r="E308" s="104"/>
      <c r="F308" s="104"/>
      <c r="G308" s="104"/>
      <c r="H308" s="104"/>
      <c r="I308" s="104"/>
      <c r="J308" s="104"/>
      <c r="K308" s="104"/>
      <c r="L308" s="104"/>
      <c r="M308" s="113"/>
      <c r="N308" s="113"/>
      <c r="O308" s="14"/>
      <c r="P308" s="9"/>
    </row>
    <row r="309" spans="1:16">
      <c r="A309" s="9"/>
      <c r="B309" s="63"/>
      <c r="C309" s="113"/>
      <c r="D309" s="104"/>
      <c r="E309" s="104"/>
      <c r="F309" s="104"/>
      <c r="G309" s="104"/>
      <c r="H309" s="104"/>
      <c r="I309" s="104"/>
      <c r="J309" s="104"/>
      <c r="K309" s="104"/>
      <c r="L309" s="104"/>
      <c r="M309" s="113"/>
      <c r="N309" s="113"/>
      <c r="O309" s="14"/>
      <c r="P309" s="9"/>
    </row>
    <row r="310" spans="1:16">
      <c r="A310" s="9"/>
      <c r="B310" s="63"/>
      <c r="C310" s="113"/>
      <c r="D310" s="104"/>
      <c r="E310" s="104"/>
      <c r="F310" s="104"/>
      <c r="G310" s="104"/>
      <c r="H310" s="104"/>
      <c r="I310" s="104"/>
      <c r="J310" s="104"/>
      <c r="K310" s="104"/>
      <c r="L310" s="104"/>
      <c r="M310" s="113"/>
      <c r="N310" s="113"/>
      <c r="O310" s="14"/>
      <c r="P310" s="9"/>
    </row>
    <row r="311" spans="1:16">
      <c r="A311" s="9"/>
      <c r="B311" s="63"/>
      <c r="C311" s="113"/>
      <c r="D311" s="104"/>
      <c r="E311" s="104"/>
      <c r="F311" s="104"/>
      <c r="G311" s="104"/>
      <c r="H311" s="104"/>
      <c r="I311" s="104"/>
      <c r="J311" s="104"/>
      <c r="K311" s="104"/>
      <c r="L311" s="104"/>
      <c r="M311" s="113"/>
      <c r="N311" s="113"/>
      <c r="O311" s="14"/>
      <c r="P311" s="9"/>
    </row>
    <row r="312" spans="1:16">
      <c r="A312" s="9"/>
      <c r="B312" s="63"/>
      <c r="C312" s="113"/>
      <c r="D312" s="104"/>
      <c r="E312" s="104"/>
      <c r="F312" s="104"/>
      <c r="G312" s="104"/>
      <c r="H312" s="104"/>
      <c r="I312" s="104"/>
      <c r="J312" s="104"/>
      <c r="K312" s="104"/>
      <c r="L312" s="104"/>
      <c r="M312" s="113"/>
      <c r="N312" s="113"/>
      <c r="O312" s="14"/>
      <c r="P312" s="9"/>
    </row>
    <row r="313" spans="1:16">
      <c r="A313" s="9"/>
      <c r="B313" s="63"/>
      <c r="C313" s="113"/>
      <c r="D313" s="104"/>
      <c r="E313" s="104"/>
      <c r="F313" s="104"/>
      <c r="G313" s="104"/>
      <c r="H313" s="104"/>
      <c r="I313" s="104"/>
      <c r="J313" s="104"/>
      <c r="K313" s="104"/>
      <c r="L313" s="104"/>
      <c r="M313" s="113"/>
      <c r="N313" s="113"/>
      <c r="O313" s="14"/>
      <c r="P313" s="9"/>
    </row>
    <row r="314" spans="1:16">
      <c r="A314" s="9"/>
      <c r="B314" s="63"/>
      <c r="C314" s="113"/>
      <c r="D314" s="104"/>
      <c r="E314" s="104"/>
      <c r="F314" s="104"/>
      <c r="G314" s="104"/>
      <c r="H314" s="104"/>
      <c r="I314" s="104"/>
      <c r="J314" s="104"/>
      <c r="K314" s="104"/>
      <c r="L314" s="104"/>
      <c r="M314" s="113"/>
      <c r="N314" s="113"/>
      <c r="O314" s="14"/>
      <c r="P314" s="9"/>
    </row>
    <row r="315" spans="1:16">
      <c r="A315" s="9"/>
      <c r="B315" s="63"/>
      <c r="C315" s="113"/>
      <c r="D315" s="104"/>
      <c r="E315" s="104"/>
      <c r="F315" s="104"/>
      <c r="G315" s="104"/>
      <c r="H315" s="104"/>
      <c r="I315" s="104"/>
      <c r="J315" s="104"/>
      <c r="K315" s="104"/>
      <c r="L315" s="104"/>
      <c r="M315" s="113"/>
      <c r="N315" s="113"/>
      <c r="O315" s="14"/>
      <c r="P315" s="9"/>
    </row>
    <row r="316" spans="1:16">
      <c r="A316" s="9"/>
      <c r="B316" s="63"/>
      <c r="C316" s="113"/>
      <c r="D316" s="104"/>
      <c r="E316" s="104"/>
      <c r="F316" s="104"/>
      <c r="G316" s="104"/>
      <c r="H316" s="104"/>
      <c r="I316" s="104"/>
      <c r="J316" s="104"/>
      <c r="K316" s="104"/>
      <c r="L316" s="104"/>
      <c r="M316" s="113"/>
      <c r="N316" s="113"/>
      <c r="O316" s="14"/>
      <c r="P316" s="9"/>
    </row>
    <row r="317" spans="1:16">
      <c r="A317" s="9"/>
      <c r="B317" s="63"/>
      <c r="C317" s="113"/>
      <c r="D317" s="104"/>
      <c r="E317" s="104"/>
      <c r="F317" s="104"/>
      <c r="G317" s="104"/>
      <c r="H317" s="104"/>
      <c r="I317" s="104"/>
      <c r="J317" s="104"/>
      <c r="K317" s="104"/>
      <c r="L317" s="104"/>
      <c r="M317" s="113"/>
      <c r="N317" s="113"/>
      <c r="O317" s="14"/>
      <c r="P317" s="9"/>
    </row>
    <row r="318" spans="1:16">
      <c r="A318" s="9"/>
      <c r="B318" s="63"/>
      <c r="C318" s="113"/>
      <c r="D318" s="104"/>
      <c r="E318" s="104"/>
      <c r="F318" s="104"/>
      <c r="G318" s="104"/>
      <c r="H318" s="104"/>
      <c r="I318" s="104"/>
      <c r="J318" s="104"/>
      <c r="K318" s="104"/>
      <c r="L318" s="104"/>
      <c r="M318" s="113"/>
      <c r="N318" s="113"/>
      <c r="O318" s="14"/>
      <c r="P318" s="9"/>
    </row>
    <row r="319" spans="1:16">
      <c r="A319" s="9"/>
      <c r="B319" s="63"/>
      <c r="C319" s="113"/>
      <c r="D319" s="104"/>
      <c r="E319" s="104"/>
      <c r="F319" s="104"/>
      <c r="G319" s="104"/>
      <c r="H319" s="104"/>
      <c r="I319" s="104"/>
      <c r="J319" s="104"/>
      <c r="K319" s="104"/>
      <c r="L319" s="104"/>
      <c r="M319" s="113"/>
      <c r="N319" s="113"/>
      <c r="O319" s="14"/>
      <c r="P319" s="9"/>
    </row>
    <row r="320" spans="1:16">
      <c r="A320" s="9"/>
      <c r="B320" s="63"/>
      <c r="C320" s="113"/>
      <c r="D320" s="104"/>
      <c r="E320" s="104"/>
      <c r="F320" s="104"/>
      <c r="G320" s="104"/>
      <c r="H320" s="104"/>
      <c r="I320" s="104"/>
      <c r="J320" s="104"/>
      <c r="K320" s="104"/>
      <c r="L320" s="104"/>
      <c r="M320" s="113"/>
      <c r="N320" s="113"/>
      <c r="O320" s="14"/>
      <c r="P320" s="9"/>
    </row>
    <row r="321" spans="1:16">
      <c r="A321" s="9"/>
      <c r="B321" s="63"/>
      <c r="C321" s="113"/>
      <c r="D321" s="104"/>
      <c r="E321" s="104"/>
      <c r="F321" s="104"/>
      <c r="G321" s="104"/>
      <c r="H321" s="104"/>
      <c r="I321" s="104"/>
      <c r="J321" s="104"/>
      <c r="K321" s="104"/>
      <c r="L321" s="104"/>
      <c r="M321" s="113"/>
      <c r="N321" s="113"/>
      <c r="O321" s="14"/>
      <c r="P321" s="9"/>
    </row>
    <row r="322" spans="1:16">
      <c r="A322" s="9"/>
      <c r="B322" s="63"/>
      <c r="C322" s="113"/>
      <c r="D322" s="104"/>
      <c r="E322" s="104"/>
      <c r="F322" s="104"/>
      <c r="G322" s="104"/>
      <c r="H322" s="104"/>
      <c r="I322" s="104"/>
      <c r="J322" s="104"/>
      <c r="K322" s="104"/>
      <c r="L322" s="104"/>
      <c r="M322" s="113"/>
      <c r="N322" s="113"/>
      <c r="O322" s="14"/>
      <c r="P322" s="9"/>
    </row>
    <row r="323" spans="1:16">
      <c r="A323" s="9"/>
      <c r="B323" s="63"/>
      <c r="C323" s="113"/>
      <c r="D323" s="104"/>
      <c r="E323" s="104"/>
      <c r="F323" s="104"/>
      <c r="G323" s="104"/>
      <c r="H323" s="104"/>
      <c r="I323" s="104"/>
      <c r="J323" s="104"/>
      <c r="K323" s="104"/>
      <c r="L323" s="104"/>
      <c r="M323" s="113"/>
      <c r="N323" s="113"/>
      <c r="O323" s="14"/>
      <c r="P323" s="9"/>
    </row>
    <row r="324" spans="1:16">
      <c r="A324" s="9"/>
      <c r="B324" s="63"/>
      <c r="C324" s="113"/>
      <c r="D324" s="104"/>
      <c r="E324" s="104"/>
      <c r="F324" s="104"/>
      <c r="G324" s="104"/>
      <c r="H324" s="104"/>
      <c r="I324" s="104"/>
      <c r="J324" s="104"/>
      <c r="K324" s="104"/>
      <c r="L324" s="104"/>
      <c r="M324" s="113"/>
      <c r="N324" s="113"/>
      <c r="O324" s="14"/>
      <c r="P324" s="9"/>
    </row>
    <row r="325" spans="1:16">
      <c r="A325" s="9"/>
      <c r="B325" s="63"/>
      <c r="C325" s="113"/>
      <c r="D325" s="104"/>
      <c r="E325" s="104"/>
      <c r="F325" s="104"/>
      <c r="G325" s="104"/>
      <c r="H325" s="104"/>
      <c r="I325" s="104"/>
      <c r="J325" s="104"/>
      <c r="K325" s="104"/>
      <c r="L325" s="104"/>
      <c r="M325" s="113"/>
      <c r="N325" s="113"/>
      <c r="O325" s="14"/>
      <c r="P325" s="9"/>
    </row>
    <row r="326" spans="1:16">
      <c r="A326" s="9"/>
      <c r="B326" s="63"/>
      <c r="C326" s="113"/>
      <c r="D326" s="104"/>
      <c r="E326" s="104"/>
      <c r="F326" s="104"/>
      <c r="G326" s="104"/>
      <c r="H326" s="104"/>
      <c r="I326" s="104"/>
      <c r="J326" s="104"/>
      <c r="K326" s="104"/>
      <c r="L326" s="104"/>
      <c r="M326" s="113"/>
      <c r="N326" s="113"/>
      <c r="O326" s="14"/>
      <c r="P326" s="9"/>
    </row>
    <row r="327" spans="1:16">
      <c r="A327" s="9"/>
      <c r="B327" s="63"/>
      <c r="C327" s="113"/>
      <c r="D327" s="104"/>
      <c r="E327" s="104"/>
      <c r="F327" s="104"/>
      <c r="G327" s="104"/>
      <c r="H327" s="104"/>
      <c r="I327" s="104"/>
      <c r="J327" s="104"/>
      <c r="K327" s="104"/>
      <c r="L327" s="104"/>
      <c r="M327" s="113"/>
      <c r="N327" s="113"/>
      <c r="O327" s="14"/>
      <c r="P327" s="9"/>
    </row>
    <row r="328" spans="1:16">
      <c r="A328" s="9"/>
      <c r="B328" s="63"/>
      <c r="C328" s="113"/>
      <c r="D328" s="104"/>
      <c r="E328" s="104"/>
      <c r="F328" s="104"/>
      <c r="G328" s="104"/>
      <c r="H328" s="104"/>
      <c r="I328" s="104"/>
      <c r="J328" s="104"/>
      <c r="K328" s="104"/>
      <c r="L328" s="104"/>
      <c r="M328" s="113"/>
      <c r="N328" s="113"/>
      <c r="O328" s="14"/>
      <c r="P328" s="9"/>
    </row>
    <row r="329" spans="1:16">
      <c r="A329" s="9"/>
      <c r="B329" s="63"/>
      <c r="C329" s="113"/>
      <c r="D329" s="104"/>
      <c r="E329" s="104"/>
      <c r="F329" s="104"/>
      <c r="G329" s="104"/>
      <c r="H329" s="104"/>
      <c r="I329" s="104"/>
      <c r="J329" s="104"/>
      <c r="K329" s="104"/>
      <c r="L329" s="104"/>
      <c r="M329" s="113"/>
      <c r="N329" s="113"/>
      <c r="O329" s="14"/>
      <c r="P329" s="9"/>
    </row>
    <row r="330" spans="1:16">
      <c r="A330" s="9"/>
      <c r="B330" s="63"/>
      <c r="C330" s="113"/>
      <c r="D330" s="104"/>
      <c r="E330" s="104"/>
      <c r="F330" s="104"/>
      <c r="G330" s="104"/>
      <c r="H330" s="104"/>
      <c r="I330" s="104"/>
      <c r="J330" s="104"/>
      <c r="K330" s="104"/>
      <c r="L330" s="104"/>
      <c r="M330" s="113"/>
      <c r="N330" s="113"/>
      <c r="O330" s="14"/>
      <c r="P330" s="9"/>
    </row>
    <row r="331" spans="1:16">
      <c r="A331" s="9"/>
      <c r="B331" s="63"/>
      <c r="C331" s="113"/>
      <c r="D331" s="104"/>
      <c r="E331" s="104"/>
      <c r="F331" s="104"/>
      <c r="G331" s="104"/>
      <c r="H331" s="104"/>
      <c r="I331" s="104"/>
      <c r="J331" s="104"/>
      <c r="K331" s="104"/>
      <c r="L331" s="104"/>
      <c r="M331" s="113"/>
      <c r="N331" s="113"/>
      <c r="O331" s="14"/>
      <c r="P331" s="9"/>
    </row>
    <row r="332" spans="1:16">
      <c r="A332" s="9"/>
      <c r="B332" s="63"/>
      <c r="C332" s="113"/>
      <c r="D332" s="104"/>
      <c r="E332" s="104"/>
      <c r="F332" s="104"/>
      <c r="G332" s="104"/>
      <c r="H332" s="104"/>
      <c r="I332" s="104"/>
      <c r="J332" s="104"/>
      <c r="K332" s="104"/>
      <c r="L332" s="104"/>
      <c r="M332" s="113"/>
      <c r="N332" s="113"/>
      <c r="O332" s="14"/>
      <c r="P332" s="9"/>
    </row>
    <row r="333" spans="1:16">
      <c r="A333" s="9"/>
      <c r="B333" s="63"/>
      <c r="C333" s="113"/>
      <c r="D333" s="104"/>
      <c r="E333" s="104"/>
      <c r="F333" s="104"/>
      <c r="G333" s="104"/>
      <c r="H333" s="104"/>
      <c r="I333" s="104"/>
      <c r="J333" s="104"/>
      <c r="K333" s="104"/>
      <c r="L333" s="104"/>
      <c r="M333" s="113"/>
      <c r="N333" s="113"/>
      <c r="O333" s="14"/>
      <c r="P333" s="9"/>
    </row>
    <row r="334" spans="1:16">
      <c r="A334" s="9"/>
      <c r="B334" s="63"/>
      <c r="C334" s="113"/>
      <c r="D334" s="104"/>
      <c r="E334" s="104"/>
      <c r="F334" s="104"/>
      <c r="G334" s="104"/>
      <c r="H334" s="104"/>
      <c r="I334" s="104"/>
      <c r="J334" s="104"/>
      <c r="K334" s="104"/>
      <c r="L334" s="104"/>
      <c r="M334" s="113"/>
      <c r="N334" s="113"/>
      <c r="O334" s="14"/>
      <c r="P334" s="9"/>
    </row>
    <row r="335" spans="1:16">
      <c r="A335" s="9"/>
      <c r="B335" s="63"/>
      <c r="C335" s="113"/>
      <c r="D335" s="104"/>
      <c r="E335" s="104"/>
      <c r="F335" s="104"/>
      <c r="G335" s="104"/>
      <c r="H335" s="104"/>
      <c r="I335" s="104"/>
      <c r="J335" s="104"/>
      <c r="K335" s="104"/>
      <c r="L335" s="104"/>
      <c r="M335" s="113"/>
      <c r="N335" s="113"/>
      <c r="O335" s="14"/>
      <c r="P335" s="9"/>
    </row>
    <row r="336" spans="1:16">
      <c r="A336" s="9"/>
      <c r="B336" s="63"/>
      <c r="C336" s="113"/>
      <c r="D336" s="104"/>
      <c r="E336" s="104"/>
      <c r="F336" s="104"/>
      <c r="G336" s="104"/>
      <c r="H336" s="104"/>
      <c r="I336" s="104"/>
      <c r="J336" s="104"/>
      <c r="K336" s="104"/>
      <c r="L336" s="104"/>
      <c r="M336" s="113"/>
      <c r="N336" s="113"/>
      <c r="O336" s="14"/>
      <c r="P336" s="9"/>
    </row>
    <row r="337" spans="1:16">
      <c r="A337" s="9"/>
      <c r="B337" s="63"/>
      <c r="C337" s="113"/>
      <c r="D337" s="104"/>
      <c r="E337" s="104"/>
      <c r="F337" s="104"/>
      <c r="G337" s="104"/>
      <c r="H337" s="104"/>
      <c r="I337" s="104"/>
      <c r="J337" s="104"/>
      <c r="K337" s="104"/>
      <c r="L337" s="104"/>
      <c r="M337" s="113"/>
      <c r="N337" s="113"/>
      <c r="O337" s="14"/>
      <c r="P337" s="9"/>
    </row>
    <row r="338" spans="1:16">
      <c r="A338" s="9"/>
      <c r="B338" s="63"/>
      <c r="C338" s="113"/>
      <c r="D338" s="104"/>
      <c r="E338" s="104"/>
      <c r="F338" s="104"/>
      <c r="G338" s="104"/>
      <c r="H338" s="104"/>
      <c r="I338" s="104"/>
      <c r="J338" s="104"/>
      <c r="K338" s="104"/>
      <c r="L338" s="104"/>
      <c r="M338" s="113"/>
      <c r="N338" s="113"/>
      <c r="O338" s="14"/>
      <c r="P338" s="9"/>
    </row>
    <row r="339" spans="1:16">
      <c r="A339" s="9"/>
      <c r="B339" s="63"/>
      <c r="C339" s="113"/>
      <c r="D339" s="104"/>
      <c r="E339" s="104"/>
      <c r="F339" s="104"/>
      <c r="G339" s="104"/>
      <c r="H339" s="104"/>
      <c r="I339" s="104"/>
      <c r="J339" s="104"/>
      <c r="K339" s="104"/>
      <c r="L339" s="104"/>
      <c r="M339" s="113"/>
      <c r="N339" s="113"/>
      <c r="O339" s="14"/>
      <c r="P339" s="9"/>
    </row>
    <row r="340" spans="1:16">
      <c r="A340" s="9"/>
      <c r="B340" s="63"/>
      <c r="C340" s="113"/>
      <c r="D340" s="104"/>
      <c r="E340" s="104"/>
      <c r="F340" s="104"/>
      <c r="G340" s="104"/>
      <c r="H340" s="104"/>
      <c r="I340" s="104"/>
      <c r="J340" s="104"/>
      <c r="K340" s="104"/>
      <c r="L340" s="104"/>
      <c r="M340" s="113"/>
      <c r="N340" s="113"/>
      <c r="O340" s="14"/>
      <c r="P340" s="9"/>
    </row>
    <row r="341" spans="1:16">
      <c r="A341" s="9"/>
      <c r="B341" s="63"/>
      <c r="C341" s="113"/>
      <c r="D341" s="104"/>
      <c r="E341" s="104"/>
      <c r="F341" s="104"/>
      <c r="G341" s="104"/>
      <c r="H341" s="104"/>
      <c r="I341" s="104"/>
      <c r="J341" s="104"/>
      <c r="K341" s="104"/>
      <c r="L341" s="104"/>
      <c r="M341" s="113"/>
      <c r="N341" s="113"/>
      <c r="O341" s="14"/>
      <c r="P341" s="9"/>
    </row>
    <row r="342" spans="1:16">
      <c r="A342" s="9"/>
      <c r="B342" s="63"/>
      <c r="C342" s="113"/>
      <c r="D342" s="104"/>
      <c r="E342" s="104"/>
      <c r="F342" s="104"/>
      <c r="G342" s="104"/>
      <c r="H342" s="104"/>
      <c r="I342" s="104"/>
      <c r="J342" s="104"/>
      <c r="K342" s="104"/>
      <c r="L342" s="104"/>
      <c r="M342" s="113"/>
      <c r="N342" s="113"/>
      <c r="O342" s="14"/>
      <c r="P342" s="9"/>
    </row>
    <row r="343" spans="1:16">
      <c r="A343" s="9"/>
      <c r="B343" s="63"/>
      <c r="C343" s="113"/>
      <c r="D343" s="104"/>
      <c r="E343" s="104"/>
      <c r="F343" s="104"/>
      <c r="G343" s="104"/>
      <c r="H343" s="104"/>
      <c r="I343" s="104"/>
      <c r="J343" s="104"/>
      <c r="K343" s="104"/>
      <c r="L343" s="104"/>
      <c r="M343" s="113"/>
      <c r="N343" s="113"/>
      <c r="O343" s="14"/>
      <c r="P343" s="9"/>
    </row>
    <row r="344" spans="1:16">
      <c r="A344" s="9"/>
      <c r="B344" s="63"/>
      <c r="C344" s="113"/>
      <c r="D344" s="104"/>
      <c r="E344" s="104"/>
      <c r="F344" s="104"/>
      <c r="G344" s="104"/>
      <c r="H344" s="104"/>
      <c r="I344" s="104"/>
      <c r="J344" s="104"/>
      <c r="K344" s="104"/>
      <c r="L344" s="104"/>
      <c r="M344" s="113"/>
      <c r="N344" s="113"/>
      <c r="O344" s="14"/>
      <c r="P344" s="9"/>
    </row>
    <row r="345" spans="1:16">
      <c r="A345" s="9"/>
      <c r="B345" s="63"/>
      <c r="C345" s="113"/>
      <c r="D345" s="104"/>
      <c r="E345" s="104"/>
      <c r="F345" s="104"/>
      <c r="G345" s="104"/>
      <c r="H345" s="104"/>
      <c r="I345" s="104"/>
      <c r="J345" s="104"/>
      <c r="K345" s="104"/>
      <c r="L345" s="104"/>
      <c r="M345" s="113"/>
      <c r="N345" s="113"/>
      <c r="O345" s="14"/>
      <c r="P345" s="9"/>
    </row>
    <row r="346" spans="1:16">
      <c r="A346" s="9"/>
      <c r="B346" s="63"/>
      <c r="C346" s="113"/>
      <c r="D346" s="104"/>
      <c r="E346" s="104"/>
      <c r="F346" s="104"/>
      <c r="G346" s="104"/>
      <c r="H346" s="104"/>
      <c r="I346" s="104"/>
      <c r="J346" s="104"/>
      <c r="K346" s="104"/>
      <c r="L346" s="104"/>
      <c r="M346" s="113"/>
      <c r="N346" s="113"/>
      <c r="O346" s="14"/>
      <c r="P346" s="9"/>
    </row>
  </sheetData>
  <sheetCalcPr fullCalcOnLoad="1"/>
  <mergeCells count="1">
    <mergeCell ref="A1:B6"/>
  </mergeCells>
  <phoneticPr fontId="3" type="noConversion"/>
  <hyperlinks>
    <hyperlink ref="C1" location="wyniki!A13" display="wyniki!A13"/>
    <hyperlink ref="D1" location="wyniki!A20" display="wyniki!A20"/>
    <hyperlink ref="E1" location="wyniki!A27" display="wyniki!A27"/>
    <hyperlink ref="F1" location="wyniki!A34" display="wyniki!A34"/>
    <hyperlink ref="G1" location="wyniki!A41" display="wyniki!A41"/>
    <hyperlink ref="H1" location="wyniki!A48" display="wyniki!A48"/>
    <hyperlink ref="I1" location="wyniki!A55" display="wyniki!A55"/>
    <hyperlink ref="J1" location="wyniki!A62" display="wyniki!A62"/>
    <hyperlink ref="K1" location="wyniki!A69" display="wyniki!A69"/>
    <hyperlink ref="L1" location="wyniki!A76" display="wyniki!A76"/>
    <hyperlink ref="M1" location="wyniki!A83" display="wyniki!A83"/>
    <hyperlink ref="N1" location="wyniki!A90" display="wyniki!A90"/>
    <hyperlink ref="C2" location="wyniki!A97" display="wyniki!A97"/>
    <hyperlink ref="D2" location="wyniki!A104" display="wyniki!A104"/>
    <hyperlink ref="E2" location="wyniki!A111" display="wyniki!A111"/>
    <hyperlink ref="F2" location="wyniki!A118" display="wyniki!A118"/>
    <hyperlink ref="G2" location="wyniki!A125" display="wyniki!A125"/>
    <hyperlink ref="H2" location="wyniki!A132" display="wyniki!A132"/>
    <hyperlink ref="I2" location="wyniki!A139" display="wyniki!A139"/>
    <hyperlink ref="J2" location="wyniki!A146" display="wyniki!A146"/>
    <hyperlink ref="K2" location="wyniki!A153" display="wyniki!A153"/>
    <hyperlink ref="L2" location="wyniki!A160" display="wyniki!A160"/>
    <hyperlink ref="M2" location="wyniki!A167" display="wyniki!A167"/>
    <hyperlink ref="N2" location="wyniki!A174" display="wyniki!A174"/>
    <hyperlink ref="C3" location="wyniki!A181" display="wyniki!A181"/>
    <hyperlink ref="D3" location="wyniki!A188" display="wyniki!A188"/>
    <hyperlink ref="E3" location="wyniki!A195" display="wyniki!A195"/>
    <hyperlink ref="F3" location="wyniki!A202" display="wyniki!A202"/>
    <hyperlink ref="G3" location="wyniki!A209" display="wyniki!A209"/>
    <hyperlink ref="H3" location="wyniki!A216" display="wyniki!A216"/>
    <hyperlink ref="I3" location="wyniki!A223" display="wyniki!A223"/>
    <hyperlink ref="J3" location="wyniki!A230" display="wyniki!A230"/>
    <hyperlink ref="K3" location="wyniki!A237" display="wyniki!A237"/>
    <hyperlink ref="L3" location="wyniki!A244" display="wyniki!A244"/>
    <hyperlink ref="M3" location="wyniki!A251" display="wyniki!A251"/>
    <hyperlink ref="N3" location="wyniki!A258" display="wyniki!A258"/>
    <hyperlink ref="C4" location="wyniki!A265" display="wyniki!A265"/>
    <hyperlink ref="D4" location="wyniki!A272" display="wyniki!A272"/>
    <hyperlink ref="E4" location="wyniki!A280" display="wyniki!A280"/>
    <hyperlink ref="F4" location="wyniki!A287" display="wyniki!A287"/>
    <hyperlink ref="A7" location="wyniki!A1" display="wyniki!A1"/>
    <hyperlink ref="A14" location="wyniki!A1" display="wyniki!A1"/>
    <hyperlink ref="A21" location="wyniki!A1" display="wyniki!A1"/>
    <hyperlink ref="A28" location="wyniki!A1" display="wyniki!A1"/>
    <hyperlink ref="A35" location="wyniki!A1" display="wyniki!A1"/>
    <hyperlink ref="A42" location="wyniki!A1" display="wyniki!A1"/>
    <hyperlink ref="A49" location="wyniki!A1" display="wyniki!A1"/>
    <hyperlink ref="A56" location="wyniki!A1" display="wyniki!A1"/>
    <hyperlink ref="A63" location="wyniki!A1" display="wyniki!A1"/>
    <hyperlink ref="A70" location="wyniki!A1" display="wyniki!A1"/>
    <hyperlink ref="A77" location="wyniki!A1" display="wyniki!A1"/>
    <hyperlink ref="A84" location="wyniki!A1" display="wyniki!A1"/>
    <hyperlink ref="A91" location="wyniki!A1" display="wyniki!A1"/>
    <hyperlink ref="A98" location="wyniki!A1" display="wyniki!A1"/>
    <hyperlink ref="A105" location="wyniki!A1" display="wyniki!A1"/>
    <hyperlink ref="A112" location="wyniki!A1" display="wyniki!A1"/>
    <hyperlink ref="A119" location="wyniki!A1" display="wyniki!A1"/>
    <hyperlink ref="A126" location="wyniki!A1" display="wyniki!A1"/>
    <hyperlink ref="A133" location="wyniki!A1" display="wyniki!A1"/>
    <hyperlink ref="A140" location="wyniki!A1" display="wyniki!A1"/>
    <hyperlink ref="A147" location="wyniki!A1" display="wyniki!A1"/>
    <hyperlink ref="A154" location="wyniki!A1" display="wyniki!A1"/>
    <hyperlink ref="A161" location="wyniki!A1" display="wyniki!A1"/>
    <hyperlink ref="A168" location="wyniki!A1" display="wyniki!A1"/>
    <hyperlink ref="A175" location="wyniki!A1" display="wyniki!A1"/>
    <hyperlink ref="A182" location="wyniki!A1" display="wyniki!A1"/>
    <hyperlink ref="A189" location="wyniki!A1" display="wyniki!A1"/>
    <hyperlink ref="A196" location="wyniki!A1" display="wyniki!A1"/>
    <hyperlink ref="A203" location="wyniki!A1" display="wyniki!A1"/>
    <hyperlink ref="A210" location="wyniki!A1" display="wyniki!A1"/>
    <hyperlink ref="A217" location="wyniki!A1" display="wyniki!A1"/>
    <hyperlink ref="A224" location="wyniki!A1" display="wyniki!A1"/>
    <hyperlink ref="A231" location="wyniki!A1" display="wyniki!A1"/>
    <hyperlink ref="A238" location="wyniki!A1" display="wyniki!A1"/>
    <hyperlink ref="A245" location="wyniki!A1" display="wyniki!A1"/>
    <hyperlink ref="A252" location="wyniki!A1" display="wyniki!A1"/>
    <hyperlink ref="A259" location="wyniki!A1" display="wyniki!A1"/>
    <hyperlink ref="A266" location="wyniki!A1" display="wyniki!A1"/>
    <hyperlink ref="A273" location="wyniki!A1" display="wyniki!A1"/>
    <hyperlink ref="A280" location="wyniki!A1" display="wyniki!A1"/>
  </hyperlinks>
  <pageMargins left="0.75" right="0.75" top="1" bottom="1" header="0.5" footer="0.5"/>
  <pageSetup paperSize="9" scale="65" orientation="portrait" horizontalDpi="300" verticalDpi="300" r:id="rId1"/>
  <headerFooter alignWithMargins="0"/>
  <rowBreaks count="1" manualBreakCount="1">
    <brk id="6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AM419"/>
  <sheetViews>
    <sheetView showGridLines="0" view="pageBreakPreview" zoomScaleNormal="100" workbookViewId="0">
      <selection activeCell="J2" sqref="J2"/>
    </sheetView>
  </sheetViews>
  <sheetFormatPr defaultRowHeight="15"/>
  <cols>
    <col min="2" max="2" width="14.42578125" hidden="1" customWidth="1"/>
    <col min="3" max="3" width="8.5703125" style="19" hidden="1" customWidth="1"/>
    <col min="4" max="4" width="9.140625" style="18" hidden="1" customWidth="1"/>
    <col min="5" max="5" width="9.140625" style="19" hidden="1" customWidth="1"/>
    <col min="6" max="7" width="9.140625" hidden="1" customWidth="1"/>
    <col min="10" max="10" width="29" style="94" bestFit="1" customWidth="1"/>
    <col min="11" max="11" width="12.28515625" style="82" bestFit="1" customWidth="1"/>
    <col min="12" max="12" width="7.140625" style="75" hidden="1" customWidth="1"/>
    <col min="13" max="13" width="28.42578125" style="94" customWidth="1"/>
    <col min="14" max="14" width="11.5703125" style="50" bestFit="1" customWidth="1"/>
  </cols>
  <sheetData>
    <row r="1" spans="2:39" ht="19.5" thickTop="1" thickBot="1">
      <c r="J1" s="95" t="s">
        <v>1719</v>
      </c>
      <c r="K1" s="68" t="s">
        <v>1720</v>
      </c>
      <c r="L1" s="66"/>
      <c r="M1" s="95" t="s">
        <v>1721</v>
      </c>
      <c r="N1" s="66" t="s">
        <v>1722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2:39" ht="17.25" thickTop="1" thickBot="1">
      <c r="B2" t="str">
        <f>wyniki!B8</f>
        <v>Anielska Aleksandra</v>
      </c>
      <c r="C2" s="19">
        <f>wyniki!C8</f>
        <v>10.18</v>
      </c>
      <c r="D2" s="18">
        <v>-1.0000000000000001E-5</v>
      </c>
      <c r="E2" s="19">
        <f>IF(C2&gt;1,G2+D2)</f>
        <v>-10.180009999999999</v>
      </c>
      <c r="F2" t="str">
        <f>wyniki!$A$7</f>
        <v>SP14 Warszawa</v>
      </c>
      <c r="G2" s="19">
        <f>-C2</f>
        <v>-10.18</v>
      </c>
      <c r="J2" s="93" t="str">
        <f>INDEX($B$2:$E$241,L2,1)</f>
        <v>Zarzycka Helena</v>
      </c>
      <c r="K2" s="80">
        <f>-LARGE($E$2:$E$241,1)</f>
        <v>8.7701200000000004</v>
      </c>
      <c r="L2" s="67">
        <f>MATCH(-K2,$E$2:$E$241,0)</f>
        <v>12</v>
      </c>
      <c r="M2" s="85" t="str">
        <f>INDEX($E$2:$F$241,L2,2)</f>
        <v>SP204 Warszawa</v>
      </c>
      <c r="N2" s="39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2:39" ht="17.25" thickTop="1" thickBot="1">
      <c r="B3" t="str">
        <f>wyniki!B9</f>
        <v>Dłużewska Julia</v>
      </c>
      <c r="C3" s="19">
        <f>wyniki!C9</f>
        <v>9.2799999999999994</v>
      </c>
      <c r="D3" s="18">
        <v>-2.0000000000000002E-5</v>
      </c>
      <c r="E3" s="19">
        <f t="shared" ref="E3:E66" si="0">IF(C3&gt;1,G3+D3)</f>
        <v>-9.2800199999999986</v>
      </c>
      <c r="F3" t="str">
        <f>wyniki!$A$7</f>
        <v>SP14 Warszawa</v>
      </c>
      <c r="G3" s="19">
        <f t="shared" ref="G3:G66" si="1">-C3</f>
        <v>-9.2799999999999994</v>
      </c>
      <c r="J3" s="93" t="str">
        <f t="shared" ref="J3:J66" si="2">INDEX($B$2:$E$241,L3,1)</f>
        <v>Chromińska Maja</v>
      </c>
      <c r="K3" s="80">
        <f>-LARGE($E$2:$E$241,2)</f>
        <v>8.7704299999999993</v>
      </c>
      <c r="L3" s="67">
        <f>MATCH(-K3,$E$2:$E$241,0)</f>
        <v>43</v>
      </c>
      <c r="M3" s="85" t="str">
        <f t="shared" ref="M3:M66" si="3">INDEX($E$2:$F$241,L3,2)</f>
        <v>SP11 Siedlce</v>
      </c>
      <c r="N3" s="39">
        <v>2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2:39" ht="17.25" thickTop="1" thickBot="1">
      <c r="B4" t="str">
        <f>wyniki!B10</f>
        <v>Glegoła Paulia</v>
      </c>
      <c r="C4" s="19">
        <f>wyniki!C10</f>
        <v>9.4600000000000009</v>
      </c>
      <c r="D4" s="18">
        <v>-3.0000000000000001E-5</v>
      </c>
      <c r="E4" s="19">
        <f t="shared" si="0"/>
        <v>-9.4600300000000015</v>
      </c>
      <c r="F4" t="str">
        <f>wyniki!$A$7</f>
        <v>SP14 Warszawa</v>
      </c>
      <c r="G4" s="19">
        <f t="shared" si="1"/>
        <v>-9.4600000000000009</v>
      </c>
      <c r="J4" s="93" t="str">
        <f t="shared" si="2"/>
        <v>Szymańska Joanna</v>
      </c>
      <c r="K4" s="80">
        <f>-LARGE($E$2:$E$241,3)</f>
        <v>8.7902799999999992</v>
      </c>
      <c r="L4" s="67">
        <f t="shared" ref="L4:L67" si="4">MATCH(-K4,$E$2:$E$241,0)</f>
        <v>28</v>
      </c>
      <c r="M4" s="85" t="str">
        <f t="shared" si="3"/>
        <v>SP2 Chorzele</v>
      </c>
      <c r="N4" s="39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2:39" ht="17.25" thickTop="1" thickBot="1">
      <c r="B5" t="str">
        <f>wyniki!B11</f>
        <v>Pietruszka Aleksandra</v>
      </c>
      <c r="C5" s="19">
        <f>wyniki!C11</f>
        <v>9.36</v>
      </c>
      <c r="D5" s="18">
        <v>-4.0000000000000003E-5</v>
      </c>
      <c r="E5" s="19">
        <f t="shared" si="0"/>
        <v>-9.3600399999999997</v>
      </c>
      <c r="F5" t="str">
        <f>wyniki!$A$7</f>
        <v>SP14 Warszawa</v>
      </c>
      <c r="G5" s="19">
        <f t="shared" si="1"/>
        <v>-9.36</v>
      </c>
      <c r="J5" s="93" t="str">
        <f t="shared" si="2"/>
        <v>Burkiewicz Amelia</v>
      </c>
      <c r="K5" s="80">
        <f>-LARGE($E$2:$E$241,4)</f>
        <v>8.8001900000000006</v>
      </c>
      <c r="L5" s="67">
        <f t="shared" si="4"/>
        <v>19</v>
      </c>
      <c r="M5" s="85" t="str">
        <f t="shared" si="3"/>
        <v>SP2 Ostrów Maz.</v>
      </c>
      <c r="N5" s="39">
        <v>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2:39" ht="17.25" thickTop="1" thickBot="1">
      <c r="B6" t="str">
        <f>wyniki!B12</f>
        <v>Stańczyk Maja</v>
      </c>
      <c r="C6" s="19">
        <f>wyniki!C12</f>
        <v>9.5</v>
      </c>
      <c r="D6" s="18">
        <v>-5.0000000000000002E-5</v>
      </c>
      <c r="E6" s="19">
        <f t="shared" si="0"/>
        <v>-9.5000499999999999</v>
      </c>
      <c r="F6" t="str">
        <f>wyniki!$A$7</f>
        <v>SP14 Warszawa</v>
      </c>
      <c r="G6" s="19">
        <f t="shared" si="1"/>
        <v>-9.5</v>
      </c>
      <c r="J6" s="93" t="str">
        <f t="shared" si="2"/>
        <v>Wolska Julia</v>
      </c>
      <c r="K6" s="80">
        <f>-LARGE($E$2:$E$241,5)</f>
        <v>8.8103499999999997</v>
      </c>
      <c r="L6" s="67">
        <f t="shared" si="4"/>
        <v>35</v>
      </c>
      <c r="M6" s="85" t="str">
        <f t="shared" si="3"/>
        <v>SP Bieniewice</v>
      </c>
      <c r="N6" s="39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2:39" ht="17.25" thickTop="1" thickBot="1">
      <c r="B7" t="str">
        <f>wyniki!B13</f>
        <v>Wikalińska Maria</v>
      </c>
      <c r="C7" s="19">
        <f>wyniki!C13</f>
        <v>9.81</v>
      </c>
      <c r="D7" s="18">
        <v>-6.0000000000000002E-5</v>
      </c>
      <c r="E7" s="19">
        <f t="shared" si="0"/>
        <v>-9.81006</v>
      </c>
      <c r="F7" t="str">
        <f>wyniki!$A$7</f>
        <v>SP14 Warszawa</v>
      </c>
      <c r="G7" s="19">
        <f t="shared" si="1"/>
        <v>-9.81</v>
      </c>
      <c r="J7" s="93" t="str">
        <f t="shared" si="2"/>
        <v>Rogowska Maja</v>
      </c>
      <c r="K7" s="80">
        <f>-LARGE($E$2:$E$241,6)</f>
        <v>8.8201099999999997</v>
      </c>
      <c r="L7" s="67">
        <f t="shared" si="4"/>
        <v>11</v>
      </c>
      <c r="M7" s="85" t="str">
        <f t="shared" si="3"/>
        <v>SP204 Warszawa</v>
      </c>
      <c r="N7" s="39">
        <v>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2:39" ht="17.25" thickTop="1" thickBot="1">
      <c r="B8" t="str">
        <f>wyniki!B15</f>
        <v>Cisowska Lena</v>
      </c>
      <c r="C8" s="19">
        <f>wyniki!C15</f>
        <v>9.98</v>
      </c>
      <c r="D8" s="18">
        <v>-6.9999999999999994E-5</v>
      </c>
      <c r="E8" s="19">
        <f t="shared" si="0"/>
        <v>-9.9800699999999996</v>
      </c>
      <c r="F8" t="str">
        <f>wyniki!$A$14</f>
        <v>SP204 Warszawa</v>
      </c>
      <c r="G8" s="19">
        <f t="shared" si="1"/>
        <v>-9.98</v>
      </c>
      <c r="J8" s="93" t="str">
        <f t="shared" si="2"/>
        <v>Borys Paulina</v>
      </c>
      <c r="K8" s="80">
        <f>-LARGE($E$2:$E$241,7)</f>
        <v>8.8803100000000015</v>
      </c>
      <c r="L8" s="67">
        <f t="shared" si="4"/>
        <v>31</v>
      </c>
      <c r="M8" s="85" t="str">
        <f t="shared" si="3"/>
        <v>SP Bieniewice</v>
      </c>
      <c r="N8" s="39">
        <v>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2:39" ht="17.25" thickTop="1" thickBot="1">
      <c r="B9" t="str">
        <f>wyniki!B16</f>
        <v>Dasiewicz Barbara</v>
      </c>
      <c r="C9" s="19">
        <f>wyniki!C16</f>
        <v>9.7899999999999991</v>
      </c>
      <c r="D9" s="18">
        <v>-8.0000000000000007E-5</v>
      </c>
      <c r="E9" s="19">
        <f t="shared" si="0"/>
        <v>-9.7900799999999997</v>
      </c>
      <c r="F9" t="str">
        <f>wyniki!$A$14</f>
        <v>SP204 Warszawa</v>
      </c>
      <c r="G9" s="19">
        <f t="shared" si="1"/>
        <v>-9.7899999999999991</v>
      </c>
      <c r="J9" s="93" t="str">
        <f t="shared" si="2"/>
        <v>Bany Monika</v>
      </c>
      <c r="K9" s="80">
        <f>-LARGE($E$2:$E$241,8)</f>
        <v>8.8806100000000008</v>
      </c>
      <c r="L9" s="67">
        <f t="shared" si="4"/>
        <v>61</v>
      </c>
      <c r="M9" s="85" t="str">
        <f t="shared" si="3"/>
        <v>SP3 Piaseczno</v>
      </c>
      <c r="N9" s="39">
        <v>8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2:39" ht="17.25" thickTop="1" thickBot="1">
      <c r="B10" t="str">
        <f>wyniki!B17</f>
        <v>Kowalska Antonina</v>
      </c>
      <c r="C10" s="19">
        <f>wyniki!C17</f>
        <v>9.5299999999999994</v>
      </c>
      <c r="D10" s="18">
        <v>-9.0000000000000006E-5</v>
      </c>
      <c r="E10" s="19">
        <f t="shared" si="0"/>
        <v>-9.5300899999999995</v>
      </c>
      <c r="F10" t="str">
        <f>wyniki!$A$14</f>
        <v>SP204 Warszawa</v>
      </c>
      <c r="G10" s="19">
        <f t="shared" si="1"/>
        <v>-9.5299999999999994</v>
      </c>
      <c r="J10" s="93" t="str">
        <f t="shared" si="2"/>
        <v>Tryzno Alicja</v>
      </c>
      <c r="K10" s="80">
        <f>-LARGE($E$2:$E$241,9)</f>
        <v>8.9505400000000002</v>
      </c>
      <c r="L10" s="67">
        <f t="shared" si="4"/>
        <v>54</v>
      </c>
      <c r="M10" s="85" t="str">
        <f t="shared" si="3"/>
        <v>SP Podkowa Leśna</v>
      </c>
      <c r="N10" s="39">
        <v>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2:39" ht="17.25" thickTop="1" thickBot="1">
      <c r="B11" t="str">
        <f>wyniki!B18</f>
        <v>Kowalska Maja</v>
      </c>
      <c r="C11" s="19">
        <f>wyniki!C18</f>
        <v>9.33</v>
      </c>
      <c r="D11" s="18">
        <v>-1E-4</v>
      </c>
      <c r="E11" s="19">
        <f t="shared" si="0"/>
        <v>-9.3300999999999998</v>
      </c>
      <c r="F11" t="str">
        <f>wyniki!$A$14</f>
        <v>SP204 Warszawa</v>
      </c>
      <c r="G11" s="19">
        <f t="shared" si="1"/>
        <v>-9.33</v>
      </c>
      <c r="J11" s="93" t="str">
        <f t="shared" si="2"/>
        <v>Wąsożnik Zofia</v>
      </c>
      <c r="K11" s="80">
        <f>-LARGE($E$2:$E$241,10)</f>
        <v>9.0004000000000008</v>
      </c>
      <c r="L11" s="67">
        <f t="shared" si="4"/>
        <v>40</v>
      </c>
      <c r="M11" s="85" t="str">
        <f t="shared" si="3"/>
        <v>SP2 Węgrów</v>
      </c>
      <c r="N11" s="39">
        <v>10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2:39" ht="17.25" thickTop="1" thickBot="1">
      <c r="B12" t="str">
        <f>wyniki!B19</f>
        <v>Rogowska Maja</v>
      </c>
      <c r="C12" s="19">
        <f>wyniki!C19</f>
        <v>8.82</v>
      </c>
      <c r="D12" s="18">
        <v>-1.1E-4</v>
      </c>
      <c r="E12" s="19">
        <f t="shared" si="0"/>
        <v>-8.8201099999999997</v>
      </c>
      <c r="F12" t="str">
        <f>wyniki!$A$14</f>
        <v>SP204 Warszawa</v>
      </c>
      <c r="G12" s="19">
        <f t="shared" si="1"/>
        <v>-8.82</v>
      </c>
      <c r="J12" s="93" t="str">
        <f t="shared" si="2"/>
        <v>Zabadała Aleksandra</v>
      </c>
      <c r="K12" s="80">
        <f>-LARGE($E$2:$E$241,11)</f>
        <v>9.0403699999999994</v>
      </c>
      <c r="L12" s="67">
        <f t="shared" si="4"/>
        <v>37</v>
      </c>
      <c r="M12" s="85" t="str">
        <f t="shared" si="3"/>
        <v>SP2 Węgrów</v>
      </c>
      <c r="N12" s="39">
        <v>11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2:39" ht="17.25" thickTop="1" thickBot="1">
      <c r="B13" t="str">
        <f>wyniki!B20</f>
        <v>Zarzycka Helena</v>
      </c>
      <c r="C13" s="19">
        <f>wyniki!C20</f>
        <v>8.77</v>
      </c>
      <c r="D13" s="18">
        <v>-1.2E-4</v>
      </c>
      <c r="E13" s="19">
        <f t="shared" si="0"/>
        <v>-8.7701200000000004</v>
      </c>
      <c r="F13" t="str">
        <f>wyniki!$A$14</f>
        <v>SP204 Warszawa</v>
      </c>
      <c r="G13" s="19">
        <f t="shared" si="1"/>
        <v>-8.77</v>
      </c>
      <c r="J13" s="93" t="str">
        <f t="shared" si="2"/>
        <v>Tyczyńska Lena</v>
      </c>
      <c r="K13" s="80">
        <f>-LARGE($E$2:$E$241,12)</f>
        <v>9.050180000000001</v>
      </c>
      <c r="L13" s="67">
        <f t="shared" si="4"/>
        <v>18</v>
      </c>
      <c r="M13" s="85" t="str">
        <f t="shared" si="3"/>
        <v>PSP 2 Radom</v>
      </c>
      <c r="N13" s="39">
        <v>12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2:39" ht="17.25" thickTop="1" thickBot="1">
      <c r="B14" t="str">
        <f>wyniki!B22</f>
        <v>Gawor Maria</v>
      </c>
      <c r="C14" s="19">
        <f>wyniki!C22</f>
        <v>9.9499999999999993</v>
      </c>
      <c r="D14" s="18">
        <v>-1.2999999999999999E-4</v>
      </c>
      <c r="E14" s="19">
        <f t="shared" si="0"/>
        <v>-9.9501299999999997</v>
      </c>
      <c r="F14" t="str">
        <f>wyniki!$A$21</f>
        <v>PSP 2 Radom</v>
      </c>
      <c r="G14" s="19">
        <f t="shared" si="1"/>
        <v>-9.9499999999999993</v>
      </c>
      <c r="J14" s="93" t="str">
        <f t="shared" si="2"/>
        <v>Dobrowolska Nikola</v>
      </c>
      <c r="K14" s="80">
        <f>-LARGE($E$2:$E$241,13)</f>
        <v>9.090679999999999</v>
      </c>
      <c r="L14" s="67">
        <f t="shared" si="4"/>
        <v>68</v>
      </c>
      <c r="M14" s="85" t="str">
        <f t="shared" si="3"/>
        <v>ZSP Jedlińsk</v>
      </c>
      <c r="N14" s="39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2:39" ht="17.25" thickTop="1" thickBot="1">
      <c r="B15" t="str">
        <f>wyniki!B23</f>
        <v>Jakubowska Liliana</v>
      </c>
      <c r="C15" s="19">
        <f>wyniki!C23</f>
        <v>9.59</v>
      </c>
      <c r="D15" s="18">
        <v>-1.3999999999999999E-4</v>
      </c>
      <c r="E15" s="19">
        <f t="shared" si="0"/>
        <v>-9.5901399999999999</v>
      </c>
      <c r="F15" t="str">
        <f>wyniki!$A$21</f>
        <v>PSP 2 Radom</v>
      </c>
      <c r="G15" s="19">
        <f t="shared" si="1"/>
        <v>-9.59</v>
      </c>
      <c r="J15" s="93" t="str">
        <f t="shared" si="2"/>
        <v>Zasowska Zofia</v>
      </c>
      <c r="K15" s="80">
        <f>-LARGE($E$2:$E$241,14)</f>
        <v>9.1203599999999998</v>
      </c>
      <c r="L15" s="67">
        <f t="shared" si="4"/>
        <v>36</v>
      </c>
      <c r="M15" s="85" t="str">
        <f t="shared" si="3"/>
        <v>SP Bieniewice</v>
      </c>
      <c r="N15" s="39">
        <v>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2:39" ht="17.25" thickTop="1" thickBot="1">
      <c r="B16" t="str">
        <f>wyniki!B24</f>
        <v>Kąca Alicja</v>
      </c>
      <c r="C16" s="19">
        <f>wyniki!C24</f>
        <v>9.32</v>
      </c>
      <c r="D16" s="18">
        <v>-1.4999999999999999E-4</v>
      </c>
      <c r="E16" s="19">
        <f t="shared" si="0"/>
        <v>-9.3201499999999999</v>
      </c>
      <c r="F16" t="str">
        <f>wyniki!$A$21</f>
        <v>PSP 2 Radom</v>
      </c>
      <c r="G16" s="19">
        <f t="shared" si="1"/>
        <v>-9.32</v>
      </c>
      <c r="J16" s="93" t="str">
        <f t="shared" si="2"/>
        <v>Woźniak Maja</v>
      </c>
      <c r="K16" s="80">
        <f>-LARGE($E$2:$E$241,15)</f>
        <v>9.1502999999999997</v>
      </c>
      <c r="L16" s="67">
        <f t="shared" si="4"/>
        <v>30</v>
      </c>
      <c r="M16" s="85" t="str">
        <f t="shared" si="3"/>
        <v>SP2 Chorzele</v>
      </c>
      <c r="N16" s="39">
        <v>15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2:39" ht="17.25" thickTop="1" thickBot="1">
      <c r="B17" t="str">
        <f>wyniki!B25</f>
        <v>Maj Amelia</v>
      </c>
      <c r="C17" s="19">
        <f>wyniki!C25</f>
        <v>9.25</v>
      </c>
      <c r="D17" s="18">
        <v>-1.6000000000000001E-4</v>
      </c>
      <c r="E17" s="19">
        <f t="shared" si="0"/>
        <v>-9.2501599999999993</v>
      </c>
      <c r="F17" t="str">
        <f>wyniki!$A$21</f>
        <v>PSP 2 Radom</v>
      </c>
      <c r="G17" s="19">
        <f t="shared" si="1"/>
        <v>-9.25</v>
      </c>
      <c r="J17" s="93" t="str">
        <f t="shared" si="2"/>
        <v>Krzycka Joanna</v>
      </c>
      <c r="K17" s="80">
        <f>-LARGE($E$2:$E$241,16)</f>
        <v>9.1703200000000002</v>
      </c>
      <c r="L17" s="67">
        <f t="shared" si="4"/>
        <v>32</v>
      </c>
      <c r="M17" s="85" t="str">
        <f t="shared" si="3"/>
        <v>SP Bieniewice</v>
      </c>
      <c r="N17" s="39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2:39" ht="17.25" thickTop="1" thickBot="1">
      <c r="B18" t="str">
        <f>wyniki!B26</f>
        <v>Piotrowska Iga</v>
      </c>
      <c r="C18" s="19">
        <f>wyniki!C26</f>
        <v>10.29</v>
      </c>
      <c r="D18" s="18">
        <v>-1.7000000000000001E-4</v>
      </c>
      <c r="E18" s="19">
        <f t="shared" si="0"/>
        <v>-10.29017</v>
      </c>
      <c r="F18" t="str">
        <f>wyniki!$A$21</f>
        <v>PSP 2 Radom</v>
      </c>
      <c r="G18" s="19">
        <f t="shared" si="1"/>
        <v>-10.29</v>
      </c>
      <c r="J18" s="93" t="str">
        <f t="shared" si="2"/>
        <v>Kmieć Zuzanna</v>
      </c>
      <c r="K18" s="80">
        <f>-LARGE($E$2:$E$241,17)</f>
        <v>9.2104200000000009</v>
      </c>
      <c r="L18" s="67">
        <f t="shared" si="4"/>
        <v>42</v>
      </c>
      <c r="M18" s="85" t="str">
        <f t="shared" si="3"/>
        <v>SP2 Węgrów</v>
      </c>
      <c r="N18" s="39">
        <v>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2:39" ht="17.25" thickTop="1" thickBot="1">
      <c r="B19" t="str">
        <f>wyniki!B27</f>
        <v>Tyczyńska Lena</v>
      </c>
      <c r="C19" s="19">
        <f>wyniki!C27</f>
        <v>9.0500000000000007</v>
      </c>
      <c r="D19" s="18">
        <v>-1.8000000000000001E-4</v>
      </c>
      <c r="E19" s="19">
        <f t="shared" si="0"/>
        <v>-9.050180000000001</v>
      </c>
      <c r="F19" t="str">
        <f>wyniki!$A$21</f>
        <v>PSP 2 Radom</v>
      </c>
      <c r="G19" s="19">
        <f t="shared" si="1"/>
        <v>-9.0500000000000007</v>
      </c>
      <c r="J19" s="93" t="str">
        <f t="shared" si="2"/>
        <v>Walczak Łucja</v>
      </c>
      <c r="K19" s="80">
        <f>-LARGE($E$2:$E$241,18)</f>
        <v>9.2207000000000008</v>
      </c>
      <c r="L19" s="67">
        <f t="shared" si="4"/>
        <v>70</v>
      </c>
      <c r="M19" s="85" t="str">
        <f t="shared" si="3"/>
        <v>ZSP Jedlińsk</v>
      </c>
      <c r="N19" s="39">
        <v>18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2:39" ht="17.25" thickTop="1" thickBot="1">
      <c r="B20" t="str">
        <f>wyniki!B29</f>
        <v>Burkiewicz Amelia</v>
      </c>
      <c r="C20" s="19">
        <f>wyniki!C29</f>
        <v>8.8000000000000007</v>
      </c>
      <c r="D20" s="18">
        <v>-1.9000000000000001E-4</v>
      </c>
      <c r="E20" s="19">
        <f t="shared" si="0"/>
        <v>-8.8001900000000006</v>
      </c>
      <c r="F20" t="str">
        <f>wyniki!$A$28</f>
        <v>SP2 Ostrów Maz.</v>
      </c>
      <c r="G20" s="19">
        <f t="shared" si="1"/>
        <v>-8.8000000000000007</v>
      </c>
      <c r="J20" s="93" t="str">
        <f t="shared" si="2"/>
        <v>Paradukha Viktoria</v>
      </c>
      <c r="K20" s="80">
        <f>-LARGE($E$2:$E$241,19)</f>
        <v>9.2402200000000008</v>
      </c>
      <c r="L20" s="67">
        <f t="shared" si="4"/>
        <v>22</v>
      </c>
      <c r="M20" s="85" t="str">
        <f t="shared" si="3"/>
        <v>SP2 Ostrów Maz.</v>
      </c>
      <c r="N20" s="39">
        <v>19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2:39" ht="17.25" thickTop="1" thickBot="1">
      <c r="B21" t="str">
        <f>wyniki!B30</f>
        <v>Kołakowska Gabriela</v>
      </c>
      <c r="C21" s="19">
        <f>wyniki!C30</f>
        <v>9.3000000000000007</v>
      </c>
      <c r="D21" s="18">
        <v>-2.0000000000000001E-4</v>
      </c>
      <c r="E21" s="19">
        <f t="shared" si="0"/>
        <v>-9.3002000000000002</v>
      </c>
      <c r="F21" t="str">
        <f>wyniki!$A$28</f>
        <v>SP2 Ostrów Maz.</v>
      </c>
      <c r="G21" s="19">
        <f t="shared" si="1"/>
        <v>-9.3000000000000007</v>
      </c>
      <c r="J21" s="93" t="str">
        <f t="shared" si="2"/>
        <v>Szablewska Lena</v>
      </c>
      <c r="K21" s="80">
        <f>-LARGE($E$2:$E$241,20)</f>
        <v>9.2406000000000006</v>
      </c>
      <c r="L21" s="67">
        <f t="shared" si="4"/>
        <v>60</v>
      </c>
      <c r="M21" s="85" t="str">
        <f t="shared" si="3"/>
        <v>ZSP Lesznowola</v>
      </c>
      <c r="N21" s="39">
        <v>20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2:39" ht="17.25" thickTop="1" thickBot="1">
      <c r="B22" t="str">
        <f>wyniki!B31</f>
        <v>Niemyjska Aleksandra</v>
      </c>
      <c r="C22" s="19">
        <f>wyniki!C31</f>
        <v>9.68</v>
      </c>
      <c r="D22" s="18">
        <v>-2.1000000000000001E-4</v>
      </c>
      <c r="E22" s="19">
        <f t="shared" si="0"/>
        <v>-9.6802099999999989</v>
      </c>
      <c r="F22" t="str">
        <f>wyniki!$A$28</f>
        <v>SP2 Ostrów Maz.</v>
      </c>
      <c r="G22" s="19">
        <f t="shared" si="1"/>
        <v>-9.68</v>
      </c>
      <c r="J22" s="93" t="str">
        <f t="shared" si="2"/>
        <v>Maj Amelia</v>
      </c>
      <c r="K22" s="80">
        <f>-LARGE($E$2:$E$241,21)</f>
        <v>9.2501599999999993</v>
      </c>
      <c r="L22" s="67">
        <f t="shared" si="4"/>
        <v>16</v>
      </c>
      <c r="M22" s="85" t="str">
        <f t="shared" si="3"/>
        <v>PSP 2 Radom</v>
      </c>
      <c r="N22" s="39">
        <v>21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2:39" ht="17.25" thickTop="1" thickBot="1">
      <c r="B23" t="str">
        <f>wyniki!B32</f>
        <v>Paradukha Viktoria</v>
      </c>
      <c r="C23" s="19">
        <f>wyniki!C32</f>
        <v>9.24</v>
      </c>
      <c r="D23" s="18">
        <v>-2.2000000000000001E-4</v>
      </c>
      <c r="E23" s="19">
        <f t="shared" si="0"/>
        <v>-9.2402200000000008</v>
      </c>
      <c r="F23" t="str">
        <f>wyniki!$A$28</f>
        <v>SP2 Ostrów Maz.</v>
      </c>
      <c r="G23" s="19">
        <f t="shared" si="1"/>
        <v>-9.24</v>
      </c>
      <c r="J23" s="93" t="str">
        <f t="shared" si="2"/>
        <v>Dłużewska Julia</v>
      </c>
      <c r="K23" s="80">
        <f>-LARGE($E$2:$E$241,22)</f>
        <v>9.2800199999999986</v>
      </c>
      <c r="L23" s="67">
        <f t="shared" si="4"/>
        <v>2</v>
      </c>
      <c r="M23" s="85" t="str">
        <f t="shared" si="3"/>
        <v>SP14 Warszawa</v>
      </c>
      <c r="N23" s="39">
        <v>22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2:39" ht="17.25" thickTop="1" thickBot="1">
      <c r="B24" t="str">
        <f>wyniki!B33</f>
        <v>Wojsz Paulina</v>
      </c>
      <c r="C24" s="19">
        <f>wyniki!C33</f>
        <v>9.9</v>
      </c>
      <c r="D24" s="18">
        <v>-2.3000000000000001E-4</v>
      </c>
      <c r="E24" s="19">
        <f t="shared" si="0"/>
        <v>-9.9002300000000005</v>
      </c>
      <c r="F24" t="str">
        <f>wyniki!$A$28</f>
        <v>SP2 Ostrów Maz.</v>
      </c>
      <c r="G24" s="19">
        <f t="shared" si="1"/>
        <v>-9.9</v>
      </c>
      <c r="J24" s="93" t="str">
        <f t="shared" si="2"/>
        <v>Kołakowska Gabriela</v>
      </c>
      <c r="K24" s="80">
        <f>-LARGE($E$2:$E$241,23)</f>
        <v>9.3002000000000002</v>
      </c>
      <c r="L24" s="67">
        <f t="shared" si="4"/>
        <v>20</v>
      </c>
      <c r="M24" s="85" t="str">
        <f t="shared" si="3"/>
        <v>SP2 Ostrów Maz.</v>
      </c>
      <c r="N24" s="39">
        <v>23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2:39" ht="17.25" thickTop="1" thickBot="1">
      <c r="B25" t="str">
        <f>wyniki!B34</f>
        <v>Radgowska Maja</v>
      </c>
      <c r="C25" s="19">
        <f>wyniki!C34</f>
        <v>9.51</v>
      </c>
      <c r="D25" s="18">
        <v>-2.4000000000000001E-4</v>
      </c>
      <c r="E25" s="19">
        <f t="shared" si="0"/>
        <v>-9.5102399999999996</v>
      </c>
      <c r="F25" t="str">
        <f>wyniki!$A$28</f>
        <v>SP2 Ostrów Maz.</v>
      </c>
      <c r="G25" s="19">
        <f t="shared" si="1"/>
        <v>-9.51</v>
      </c>
      <c r="J25" s="93" t="str">
        <f t="shared" si="2"/>
        <v>Furman Alicja</v>
      </c>
      <c r="K25" s="80">
        <f>-LARGE($E$2:$E$241,24)</f>
        <v>9.3102499999999999</v>
      </c>
      <c r="L25" s="67">
        <f t="shared" si="4"/>
        <v>25</v>
      </c>
      <c r="M25" s="85" t="str">
        <f t="shared" si="3"/>
        <v>SP2 Chorzele</v>
      </c>
      <c r="N25" s="39"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2:39" ht="17.25" thickTop="1" thickBot="1">
      <c r="B26" t="str">
        <f>wyniki!B36</f>
        <v>Furman Alicja</v>
      </c>
      <c r="C26" s="19">
        <f>wyniki!C36</f>
        <v>9.31</v>
      </c>
      <c r="D26" s="18">
        <v>-2.5000000000000001E-4</v>
      </c>
      <c r="E26" s="19">
        <f t="shared" si="0"/>
        <v>-9.3102499999999999</v>
      </c>
      <c r="F26" t="str">
        <f>wyniki!$A$35</f>
        <v>SP2 Chorzele</v>
      </c>
      <c r="G26" s="19">
        <f t="shared" si="1"/>
        <v>-9.31</v>
      </c>
      <c r="J26" s="93" t="str">
        <f t="shared" si="2"/>
        <v>Niedziółka Weronika</v>
      </c>
      <c r="K26" s="80">
        <f>-LARGE($E$2:$E$241,25)</f>
        <v>9.3104700000000005</v>
      </c>
      <c r="L26" s="67">
        <f t="shared" si="4"/>
        <v>47</v>
      </c>
      <c r="M26" s="85" t="str">
        <f t="shared" si="3"/>
        <v>SP11 Siedlce</v>
      </c>
      <c r="N26" s="39">
        <v>25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2:39" ht="17.25" thickTop="1" thickBot="1">
      <c r="B27" t="str">
        <f>wyniki!B37</f>
        <v>Grabowska Maja</v>
      </c>
      <c r="C27" s="19">
        <f>wyniki!C37</f>
        <v>9.52</v>
      </c>
      <c r="D27" s="18">
        <v>-2.5999999999999998E-4</v>
      </c>
      <c r="E27" s="19">
        <f t="shared" si="0"/>
        <v>-9.5202600000000004</v>
      </c>
      <c r="F27" t="str">
        <f>wyniki!$A$35</f>
        <v>SP2 Chorzele</v>
      </c>
      <c r="G27" s="19">
        <f t="shared" si="1"/>
        <v>-9.52</v>
      </c>
      <c r="J27" s="93" t="str">
        <f t="shared" si="2"/>
        <v>Kąca Alicja</v>
      </c>
      <c r="K27" s="80">
        <f>-LARGE($E$2:$E$241,26)</f>
        <v>9.3201499999999999</v>
      </c>
      <c r="L27" s="67">
        <f t="shared" si="4"/>
        <v>15</v>
      </c>
      <c r="M27" s="85" t="str">
        <f t="shared" si="3"/>
        <v>PSP 2 Radom</v>
      </c>
      <c r="N27" s="39">
        <v>26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2:39" ht="17.25" thickTop="1" thickBot="1">
      <c r="B28" t="str">
        <f>wyniki!B38</f>
        <v>Lubowiecka Nadia</v>
      </c>
      <c r="C28" s="19">
        <f>wyniki!C38</f>
        <v>9.73</v>
      </c>
      <c r="D28" s="18">
        <v>-2.7E-4</v>
      </c>
      <c r="E28" s="19">
        <f t="shared" si="0"/>
        <v>-9.7302700000000009</v>
      </c>
      <c r="F28" t="str">
        <f>wyniki!$A$35</f>
        <v>SP2 Chorzele</v>
      </c>
      <c r="G28" s="19">
        <f t="shared" si="1"/>
        <v>-9.73</v>
      </c>
      <c r="J28" s="93" t="str">
        <f t="shared" si="2"/>
        <v>Kowalska Maja</v>
      </c>
      <c r="K28" s="80">
        <f>-LARGE($E$2:$E$241,27)</f>
        <v>9.3300999999999998</v>
      </c>
      <c r="L28" s="67">
        <f t="shared" si="4"/>
        <v>10</v>
      </c>
      <c r="M28" s="85" t="str">
        <f t="shared" si="3"/>
        <v>SP204 Warszawa</v>
      </c>
      <c r="N28" s="39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2:39" ht="17.25" thickTop="1" thickBot="1">
      <c r="B29" t="str">
        <f>wyniki!B39</f>
        <v>Szymańska Joanna</v>
      </c>
      <c r="C29" s="19">
        <f>wyniki!C39</f>
        <v>8.7899999999999991</v>
      </c>
      <c r="D29" s="18">
        <v>-2.7999999999999998E-4</v>
      </c>
      <c r="E29" s="19">
        <f t="shared" si="0"/>
        <v>-8.7902799999999992</v>
      </c>
      <c r="F29" t="str">
        <f>wyniki!$A$35</f>
        <v>SP2 Chorzele</v>
      </c>
      <c r="G29" s="19">
        <f t="shared" si="1"/>
        <v>-8.7899999999999991</v>
      </c>
      <c r="J29" s="93" t="str">
        <f t="shared" si="2"/>
        <v>Pietruszka Aleksandra</v>
      </c>
      <c r="K29" s="80">
        <f>-LARGE($E$2:$E$241,28)</f>
        <v>9.3600399999999997</v>
      </c>
      <c r="L29" s="67">
        <f t="shared" si="4"/>
        <v>4</v>
      </c>
      <c r="M29" s="85" t="str">
        <f t="shared" si="3"/>
        <v>SP14 Warszawa</v>
      </c>
      <c r="N29" s="39">
        <v>28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2:39" ht="17.25" thickTop="1" thickBot="1">
      <c r="B30" t="str">
        <f>wyniki!B40</f>
        <v>Tłoczkowska Marta</v>
      </c>
      <c r="C30" s="19">
        <f>wyniki!C40</f>
        <v>9.6199999999999992</v>
      </c>
      <c r="D30" s="18">
        <v>-2.9E-4</v>
      </c>
      <c r="E30" s="19">
        <f t="shared" si="0"/>
        <v>-9.6202899999999989</v>
      </c>
      <c r="F30" t="str">
        <f>wyniki!$A$35</f>
        <v>SP2 Chorzele</v>
      </c>
      <c r="G30" s="19">
        <f t="shared" si="1"/>
        <v>-9.6199999999999992</v>
      </c>
      <c r="J30" s="93" t="str">
        <f t="shared" si="2"/>
        <v>Jachowicz Roksana</v>
      </c>
      <c r="K30" s="80">
        <f>-LARGE($E$2:$E$241,29)</f>
        <v>9.3603799999999993</v>
      </c>
      <c r="L30" s="67">
        <f t="shared" si="4"/>
        <v>38</v>
      </c>
      <c r="M30" s="85" t="str">
        <f t="shared" si="3"/>
        <v>SP2 Węgrów</v>
      </c>
      <c r="N30" s="39">
        <v>29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2:39" ht="17.25" thickTop="1" thickBot="1">
      <c r="B31" t="str">
        <f>wyniki!B41</f>
        <v>Woźniak Maja</v>
      </c>
      <c r="C31" s="19">
        <f>wyniki!C41</f>
        <v>9.15</v>
      </c>
      <c r="D31" s="18">
        <v>-2.9999999999999997E-4</v>
      </c>
      <c r="E31" s="19">
        <f t="shared" si="0"/>
        <v>-9.1502999999999997</v>
      </c>
      <c r="F31" t="str">
        <f>wyniki!$A$35</f>
        <v>SP2 Chorzele</v>
      </c>
      <c r="G31" s="19">
        <f t="shared" si="1"/>
        <v>-9.15</v>
      </c>
      <c r="J31" s="93" t="str">
        <f t="shared" si="2"/>
        <v>Borysiuk Gaja</v>
      </c>
      <c r="K31" s="80">
        <f>-LARGE($E$2:$E$241,30)</f>
        <v>9.3606199999999991</v>
      </c>
      <c r="L31" s="67">
        <f t="shared" si="4"/>
        <v>62</v>
      </c>
      <c r="M31" s="85" t="str">
        <f t="shared" si="3"/>
        <v>SP3 Piaseczno</v>
      </c>
      <c r="N31" s="39">
        <v>30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2:39" ht="17.25" thickTop="1" thickBot="1">
      <c r="B32" t="str">
        <f>wyniki!B43</f>
        <v>Borys Paulina</v>
      </c>
      <c r="C32" s="19">
        <f>wyniki!C43</f>
        <v>8.8800000000000008</v>
      </c>
      <c r="D32" s="18">
        <v>-3.1E-4</v>
      </c>
      <c r="E32" s="19">
        <f t="shared" si="0"/>
        <v>-8.8803100000000015</v>
      </c>
      <c r="F32" t="str">
        <f>wyniki!$A$42</f>
        <v>SP Bieniewice</v>
      </c>
      <c r="G32" s="19">
        <f t="shared" si="1"/>
        <v>-8.8800000000000008</v>
      </c>
      <c r="J32" s="93" t="str">
        <f t="shared" si="2"/>
        <v>Rytel Emilia</v>
      </c>
      <c r="K32" s="80">
        <f>-LARGE($E$2:$E$241,31)</f>
        <v>9.4104799999999997</v>
      </c>
      <c r="L32" s="67">
        <f t="shared" si="4"/>
        <v>48</v>
      </c>
      <c r="M32" s="85" t="str">
        <f t="shared" si="3"/>
        <v>SP11 Siedlce</v>
      </c>
      <c r="N32" s="39">
        <v>31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2:39" ht="17.25" thickTop="1" thickBot="1">
      <c r="B33" t="str">
        <f>wyniki!B44</f>
        <v>Krzycka Joanna</v>
      </c>
      <c r="C33" s="19">
        <f>wyniki!C44</f>
        <v>9.17</v>
      </c>
      <c r="D33" s="18">
        <v>-3.2000000000000003E-4</v>
      </c>
      <c r="E33" s="19">
        <f t="shared" si="0"/>
        <v>-9.1703200000000002</v>
      </c>
      <c r="F33" t="str">
        <f>wyniki!$A$42</f>
        <v>SP Bieniewice</v>
      </c>
      <c r="G33" s="19">
        <f t="shared" si="1"/>
        <v>-9.17</v>
      </c>
      <c r="J33" s="93" t="str">
        <f t="shared" si="2"/>
        <v>Glegoła Paulia</v>
      </c>
      <c r="K33" s="80">
        <f>-LARGE($E$2:$E$241,32)</f>
        <v>9.4600300000000015</v>
      </c>
      <c r="L33" s="67">
        <f t="shared" si="4"/>
        <v>3</v>
      </c>
      <c r="M33" s="85" t="str">
        <f t="shared" si="3"/>
        <v>SP14 Warszawa</v>
      </c>
      <c r="N33" s="39">
        <v>32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2:39" ht="17.25" thickTop="1" thickBot="1">
      <c r="B34" t="str">
        <f>wyniki!B45</f>
        <v>Obrębska Maja</v>
      </c>
      <c r="C34" s="19">
        <f>wyniki!C45</f>
        <v>9.52</v>
      </c>
      <c r="D34" s="18">
        <v>-3.3E-4</v>
      </c>
      <c r="E34" s="19">
        <f t="shared" si="0"/>
        <v>-9.5203299999999995</v>
      </c>
      <c r="F34" t="str">
        <f>wyniki!$A$42</f>
        <v>SP Bieniewice</v>
      </c>
      <c r="G34" s="19">
        <f t="shared" si="1"/>
        <v>-9.52</v>
      </c>
      <c r="J34" s="93" t="str">
        <f t="shared" si="2"/>
        <v>Kolenda Zofia</v>
      </c>
      <c r="K34" s="80">
        <f>-LARGE($E$2:$E$241,33)</f>
        <v>9.4605100000000011</v>
      </c>
      <c r="L34" s="67">
        <f t="shared" si="4"/>
        <v>51</v>
      </c>
      <c r="M34" s="85" t="str">
        <f t="shared" si="3"/>
        <v>SP Podkowa Leśna</v>
      </c>
      <c r="N34" s="39">
        <v>33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2:39" ht="17.25" thickTop="1" thickBot="1">
      <c r="B35" t="str">
        <f>wyniki!B46</f>
        <v>Wachowiak Maja</v>
      </c>
      <c r="C35" s="19">
        <f>wyniki!C46</f>
        <v>9.94</v>
      </c>
      <c r="D35" s="18">
        <v>-3.4000000000000002E-4</v>
      </c>
      <c r="E35" s="19">
        <f t="shared" si="0"/>
        <v>-9.9403399999999991</v>
      </c>
      <c r="F35" t="str">
        <f>wyniki!$A$42</f>
        <v>SP Bieniewice</v>
      </c>
      <c r="G35" s="19">
        <f t="shared" si="1"/>
        <v>-9.94</v>
      </c>
      <c r="J35" s="93" t="str">
        <f t="shared" si="2"/>
        <v>Krutkowska Amelia</v>
      </c>
      <c r="K35" s="80">
        <f>-LARGE($E$2:$E$241,34)</f>
        <v>9.4705200000000005</v>
      </c>
      <c r="L35" s="67">
        <f t="shared" si="4"/>
        <v>52</v>
      </c>
      <c r="M35" s="85" t="str">
        <f t="shared" si="3"/>
        <v>SP Podkowa Leśna</v>
      </c>
      <c r="N35" s="39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2:39" ht="17.25" thickTop="1" thickBot="1">
      <c r="B36" t="str">
        <f>wyniki!B47</f>
        <v>Wolska Julia</v>
      </c>
      <c r="C36" s="19">
        <f>wyniki!C47</f>
        <v>8.81</v>
      </c>
      <c r="D36" s="18">
        <v>-3.5E-4</v>
      </c>
      <c r="E36" s="19">
        <f t="shared" si="0"/>
        <v>-8.8103499999999997</v>
      </c>
      <c r="F36" t="str">
        <f>wyniki!$A$42</f>
        <v>SP Bieniewice</v>
      </c>
      <c r="G36" s="19">
        <f t="shared" si="1"/>
        <v>-8.81</v>
      </c>
      <c r="J36" s="93" t="str">
        <f t="shared" si="2"/>
        <v>Hajdenrach Antonina</v>
      </c>
      <c r="K36" s="80">
        <f>-LARGE($E$2:$E$241,35)</f>
        <v>9.480500000000001</v>
      </c>
      <c r="L36" s="67">
        <f t="shared" si="4"/>
        <v>50</v>
      </c>
      <c r="M36" s="85" t="str">
        <f t="shared" si="3"/>
        <v>SP Podkowa Leśna</v>
      </c>
      <c r="N36" s="39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2:39" ht="17.25" thickTop="1" thickBot="1">
      <c r="B37" t="str">
        <f>wyniki!B48</f>
        <v>Zasowska Zofia</v>
      </c>
      <c r="C37" s="19">
        <f>wyniki!C48</f>
        <v>9.1199999999999992</v>
      </c>
      <c r="D37" s="18">
        <v>-3.6000000000000002E-4</v>
      </c>
      <c r="E37" s="19">
        <f t="shared" si="0"/>
        <v>-9.1203599999999998</v>
      </c>
      <c r="F37" t="str">
        <f>wyniki!$A$42</f>
        <v>SP Bieniewice</v>
      </c>
      <c r="G37" s="19">
        <f t="shared" si="1"/>
        <v>-9.1199999999999992</v>
      </c>
      <c r="J37" s="93" t="str">
        <f t="shared" si="2"/>
        <v>Stańczyk Maja</v>
      </c>
      <c r="K37" s="80">
        <f>-LARGE($E$2:$E$241,36)</f>
        <v>9.5000499999999999</v>
      </c>
      <c r="L37" s="67">
        <f t="shared" si="4"/>
        <v>5</v>
      </c>
      <c r="M37" s="85" t="str">
        <f t="shared" si="3"/>
        <v>SP14 Warszawa</v>
      </c>
      <c r="N37" s="39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2:39" ht="17.25" thickTop="1" thickBot="1">
      <c r="B38" t="str">
        <f>wyniki!B50</f>
        <v>Zabadała Aleksandra</v>
      </c>
      <c r="C38" s="19">
        <f>wyniki!C50</f>
        <v>9.0399999999999991</v>
      </c>
      <c r="D38" s="18">
        <v>-3.6999999999999999E-4</v>
      </c>
      <c r="E38" s="19">
        <f t="shared" si="0"/>
        <v>-9.0403699999999994</v>
      </c>
      <c r="F38" t="str">
        <f>wyniki!$A$49</f>
        <v>SP2 Węgrów</v>
      </c>
      <c r="G38" s="19">
        <f t="shared" si="1"/>
        <v>-9.0399999999999991</v>
      </c>
      <c r="J38" s="93" t="str">
        <f t="shared" si="2"/>
        <v>Adamczyk Michalina</v>
      </c>
      <c r="K38" s="80">
        <f>-LARGE($E$2:$E$241,37)</f>
        <v>9.5006699999999995</v>
      </c>
      <c r="L38" s="67">
        <f t="shared" si="4"/>
        <v>67</v>
      </c>
      <c r="M38" s="85" t="str">
        <f t="shared" si="3"/>
        <v>ZSP Jedlińsk</v>
      </c>
      <c r="N38" s="39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2:39" ht="17.25" thickTop="1" thickBot="1">
      <c r="B39" t="str">
        <f>wyniki!B51</f>
        <v>Jachowicz Roksana</v>
      </c>
      <c r="C39" s="19">
        <f>wyniki!C51</f>
        <v>9.36</v>
      </c>
      <c r="D39" s="18">
        <v>-3.8000000000000002E-4</v>
      </c>
      <c r="E39" s="19">
        <f t="shared" si="0"/>
        <v>-9.3603799999999993</v>
      </c>
      <c r="F39" t="str">
        <f>wyniki!$A$49</f>
        <v>SP2 Węgrów</v>
      </c>
      <c r="G39" s="19">
        <f t="shared" si="1"/>
        <v>-9.36</v>
      </c>
      <c r="J39" s="93" t="str">
        <f t="shared" si="2"/>
        <v>Radgowska Maja</v>
      </c>
      <c r="K39" s="80">
        <f>-LARGE($E$2:$E$241,38)</f>
        <v>9.5102399999999996</v>
      </c>
      <c r="L39" s="67">
        <f t="shared" si="4"/>
        <v>24</v>
      </c>
      <c r="M39" s="85" t="str">
        <f t="shared" si="3"/>
        <v>SP2 Ostrów Maz.</v>
      </c>
      <c r="N39" s="39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2:39" ht="17.25" thickTop="1" thickBot="1">
      <c r="B40" t="str">
        <f>wyniki!B52</f>
        <v>Mikołajewska Iga</v>
      </c>
      <c r="C40" s="19">
        <f>wyniki!C52</f>
        <v>9.89</v>
      </c>
      <c r="D40" s="18">
        <v>-3.8999999999999999E-4</v>
      </c>
      <c r="E40" s="19">
        <f t="shared" si="0"/>
        <v>-9.89039</v>
      </c>
      <c r="F40" t="str">
        <f>wyniki!$A$49</f>
        <v>SP2 Węgrów</v>
      </c>
      <c r="G40" s="19">
        <f t="shared" si="1"/>
        <v>-9.89</v>
      </c>
      <c r="J40" s="93" t="str">
        <f t="shared" si="2"/>
        <v>Grabowska Maja</v>
      </c>
      <c r="K40" s="80">
        <f>-LARGE($E$2:$E$241,39)</f>
        <v>9.5202600000000004</v>
      </c>
      <c r="L40" s="67">
        <f t="shared" si="4"/>
        <v>26</v>
      </c>
      <c r="M40" s="85" t="str">
        <f t="shared" si="3"/>
        <v>SP2 Chorzele</v>
      </c>
      <c r="N40" s="39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2:39" ht="17.25" thickTop="1" thickBot="1">
      <c r="B41" t="str">
        <f>wyniki!B53</f>
        <v>Wąsożnik Zofia</v>
      </c>
      <c r="C41" s="19">
        <f>wyniki!C53</f>
        <v>9</v>
      </c>
      <c r="D41" s="18">
        <v>-4.0000000000000002E-4</v>
      </c>
      <c r="E41" s="19">
        <f t="shared" si="0"/>
        <v>-9.0004000000000008</v>
      </c>
      <c r="F41" t="str">
        <f>wyniki!$A$49</f>
        <v>SP2 Węgrów</v>
      </c>
      <c r="G41" s="19">
        <f t="shared" si="1"/>
        <v>-9</v>
      </c>
      <c r="J41" s="93" t="str">
        <f t="shared" si="2"/>
        <v>Obrębska Maja</v>
      </c>
      <c r="K41" s="80">
        <f>-LARGE($E$2:$E$241,40)</f>
        <v>9.5203299999999995</v>
      </c>
      <c r="L41" s="67">
        <f t="shared" si="4"/>
        <v>33</v>
      </c>
      <c r="M41" s="85" t="str">
        <f t="shared" si="3"/>
        <v>SP Bieniewice</v>
      </c>
      <c r="N41" s="39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2:39" ht="17.25" thickTop="1" thickBot="1">
      <c r="B42" t="str">
        <f>wyniki!B54</f>
        <v>Wrzeszcz Anna</v>
      </c>
      <c r="C42" s="19">
        <f>wyniki!C54</f>
        <v>10.06</v>
      </c>
      <c r="D42" s="18">
        <v>-4.0999999999999999E-4</v>
      </c>
      <c r="E42" s="19">
        <f t="shared" si="0"/>
        <v>-10.060410000000001</v>
      </c>
      <c r="F42" t="str">
        <f>wyniki!$A$49</f>
        <v>SP2 Węgrów</v>
      </c>
      <c r="G42" s="19">
        <f t="shared" si="1"/>
        <v>-10.06</v>
      </c>
      <c r="J42" s="93" t="str">
        <f t="shared" si="2"/>
        <v>Kowalska Antonina</v>
      </c>
      <c r="K42" s="80">
        <f>-LARGE($E$2:$E$241,41)</f>
        <v>9.5300899999999995</v>
      </c>
      <c r="L42" s="67">
        <f t="shared" si="4"/>
        <v>9</v>
      </c>
      <c r="M42" s="85" t="str">
        <f t="shared" si="3"/>
        <v>SP204 Warszawa</v>
      </c>
      <c r="N42" s="39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2:39" ht="17.25" thickTop="1" thickBot="1">
      <c r="B43" t="str">
        <f>wyniki!B55</f>
        <v>Kmieć Zuzanna</v>
      </c>
      <c r="C43" s="19">
        <f>wyniki!C55</f>
        <v>9.2100000000000009</v>
      </c>
      <c r="D43" s="18">
        <v>-4.2000000000000002E-4</v>
      </c>
      <c r="E43" s="19">
        <f t="shared" si="0"/>
        <v>-9.2104200000000009</v>
      </c>
      <c r="F43" t="str">
        <f>wyniki!$A$49</f>
        <v>SP2 Węgrów</v>
      </c>
      <c r="G43" s="19">
        <f t="shared" si="1"/>
        <v>-9.2100000000000009</v>
      </c>
      <c r="J43" s="93" t="str">
        <f t="shared" si="2"/>
        <v>Gryz Amelia</v>
      </c>
      <c r="K43" s="80">
        <f>-LARGE($E$2:$E$241,42)</f>
        <v>9.5406899999999997</v>
      </c>
      <c r="L43" s="67">
        <f t="shared" si="4"/>
        <v>69</v>
      </c>
      <c r="M43" s="85" t="str">
        <f t="shared" si="3"/>
        <v>ZSP Jedlińsk</v>
      </c>
      <c r="N43" s="39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2:39" ht="17.25" thickTop="1" thickBot="1">
      <c r="B44" t="str">
        <f>wyniki!B57</f>
        <v>Chromińska Maja</v>
      </c>
      <c r="C44" s="19">
        <f>wyniki!C57</f>
        <v>8.77</v>
      </c>
      <c r="D44" s="18">
        <v>-4.2999999999999999E-4</v>
      </c>
      <c r="E44" s="19">
        <f t="shared" si="0"/>
        <v>-8.7704299999999993</v>
      </c>
      <c r="F44" t="str">
        <f>wyniki!$A$56</f>
        <v>SP11 Siedlce</v>
      </c>
      <c r="G44" s="19">
        <f t="shared" si="1"/>
        <v>-8.77</v>
      </c>
      <c r="J44" s="93" t="str">
        <f t="shared" si="2"/>
        <v>Spiechowicz Lidia</v>
      </c>
      <c r="K44" s="80">
        <f>-LARGE($E$2:$E$241,43)</f>
        <v>9.5706400000000009</v>
      </c>
      <c r="L44" s="67">
        <f t="shared" si="4"/>
        <v>64</v>
      </c>
      <c r="M44" s="85" t="str">
        <f t="shared" si="3"/>
        <v>SP3 Piaseczno</v>
      </c>
      <c r="N44" s="39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2:39" ht="17.25" thickTop="1" thickBot="1">
      <c r="B45" t="str">
        <f>wyniki!B58</f>
        <v>Fiuk Julia</v>
      </c>
      <c r="C45" s="19">
        <f>wyniki!C58</f>
        <v>9.7100000000000009</v>
      </c>
      <c r="D45" s="18">
        <v>-4.4000000000000002E-4</v>
      </c>
      <c r="E45" s="19">
        <f t="shared" si="0"/>
        <v>-9.7104400000000002</v>
      </c>
      <c r="F45" t="str">
        <f>wyniki!$A$56</f>
        <v>SP11 Siedlce</v>
      </c>
      <c r="G45" s="19">
        <f t="shared" si="1"/>
        <v>-9.7100000000000009</v>
      </c>
      <c r="J45" s="93" t="str">
        <f t="shared" si="2"/>
        <v>Wilczyńska Maria</v>
      </c>
      <c r="K45" s="80">
        <f>-LARGE($E$2:$E$241,44)</f>
        <v>9.5706600000000002</v>
      </c>
      <c r="L45" s="67">
        <f t="shared" si="4"/>
        <v>66</v>
      </c>
      <c r="M45" s="85" t="str">
        <f t="shared" si="3"/>
        <v>SP3 Piaseczno</v>
      </c>
      <c r="N45" s="39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2:39" ht="17.25" thickTop="1" thickBot="1">
      <c r="B46" t="str">
        <f>wyniki!B59</f>
        <v>Kowal Natalia</v>
      </c>
      <c r="C46" s="19">
        <f>wyniki!C59</f>
        <v>10.23</v>
      </c>
      <c r="D46" s="18">
        <v>-4.4999999999999999E-4</v>
      </c>
      <c r="E46" s="19">
        <f t="shared" si="0"/>
        <v>-10.230450000000001</v>
      </c>
      <c r="F46" t="str">
        <f>wyniki!$A$56</f>
        <v>SP11 Siedlce</v>
      </c>
      <c r="G46" s="19">
        <f t="shared" si="1"/>
        <v>-10.23</v>
      </c>
      <c r="J46" s="93" t="str">
        <f t="shared" si="2"/>
        <v>Jakubowska Liliana</v>
      </c>
      <c r="K46" s="80">
        <f>-LARGE($E$2:$E$241,45)</f>
        <v>9.5901399999999999</v>
      </c>
      <c r="L46" s="67">
        <f t="shared" si="4"/>
        <v>14</v>
      </c>
      <c r="M46" s="85" t="str">
        <f t="shared" si="3"/>
        <v>PSP 2 Radom</v>
      </c>
      <c r="N46" s="39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2:39" ht="17.25" thickTop="1" thickBot="1">
      <c r="B47" t="str">
        <f>wyniki!B60</f>
        <v>Mościcka Gabriela</v>
      </c>
      <c r="C47" s="19">
        <f>wyniki!C60</f>
        <v>9.99</v>
      </c>
      <c r="D47" s="18">
        <v>-4.6000000000000001E-4</v>
      </c>
      <c r="E47" s="19">
        <f t="shared" si="0"/>
        <v>-9.9904600000000006</v>
      </c>
      <c r="F47" t="str">
        <f>wyniki!$A$56</f>
        <v>SP11 Siedlce</v>
      </c>
      <c r="G47" s="19">
        <f t="shared" si="1"/>
        <v>-9.99</v>
      </c>
      <c r="J47" s="93" t="str">
        <f t="shared" si="2"/>
        <v>Tłoczkowska Marta</v>
      </c>
      <c r="K47" s="80">
        <f>-LARGE($E$2:$E$241,46)</f>
        <v>9.6202899999999989</v>
      </c>
      <c r="L47" s="67">
        <f t="shared" si="4"/>
        <v>29</v>
      </c>
      <c r="M47" s="85" t="str">
        <f t="shared" si="3"/>
        <v>SP2 Chorzele</v>
      </c>
      <c r="N47" s="39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2:39" ht="17.25" thickTop="1" thickBot="1">
      <c r="B48" t="str">
        <f>wyniki!B61</f>
        <v>Niedziółka Weronika</v>
      </c>
      <c r="C48" s="19">
        <f>wyniki!C61</f>
        <v>9.31</v>
      </c>
      <c r="D48" s="18">
        <v>-4.6999999999999999E-4</v>
      </c>
      <c r="E48" s="19">
        <f t="shared" si="0"/>
        <v>-9.3104700000000005</v>
      </c>
      <c r="F48" t="str">
        <f>wyniki!$A$56</f>
        <v>SP11 Siedlce</v>
      </c>
      <c r="G48" s="19">
        <f t="shared" si="1"/>
        <v>-9.31</v>
      </c>
      <c r="J48" s="93" t="str">
        <f t="shared" si="2"/>
        <v>Niemyjska Aleksandra</v>
      </c>
      <c r="K48" s="80">
        <f>-LARGE($E$2:$E$241,47)</f>
        <v>9.6802099999999989</v>
      </c>
      <c r="L48" s="67">
        <f t="shared" si="4"/>
        <v>21</v>
      </c>
      <c r="M48" s="85" t="str">
        <f t="shared" si="3"/>
        <v>SP2 Ostrów Maz.</v>
      </c>
      <c r="N48" s="39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2:39" ht="17.25" thickTop="1" thickBot="1">
      <c r="B49" t="str">
        <f>wyniki!B62</f>
        <v>Rytel Emilia</v>
      </c>
      <c r="C49" s="19">
        <f>wyniki!C62</f>
        <v>9.41</v>
      </c>
      <c r="D49" s="18">
        <v>-4.8000000000000001E-4</v>
      </c>
      <c r="E49" s="19">
        <f t="shared" si="0"/>
        <v>-9.4104799999999997</v>
      </c>
      <c r="F49" t="str">
        <f>wyniki!$A$56</f>
        <v>SP11 Siedlce</v>
      </c>
      <c r="G49" s="19">
        <f t="shared" si="1"/>
        <v>-9.41</v>
      </c>
      <c r="J49" s="93" t="str">
        <f t="shared" si="2"/>
        <v>Żaczek Nikola</v>
      </c>
      <c r="K49" s="80">
        <f>-LARGE($E$2:$E$241,48)</f>
        <v>9.6907199999999989</v>
      </c>
      <c r="L49" s="67">
        <f t="shared" si="4"/>
        <v>72</v>
      </c>
      <c r="M49" s="85" t="str">
        <f t="shared" si="3"/>
        <v>ZSP Jedlińsk</v>
      </c>
      <c r="N49" s="39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2:39" ht="17.25" thickTop="1" thickBot="1">
      <c r="B50" t="str">
        <f>wyniki!B64</f>
        <v>Bąbiak Gabriela</v>
      </c>
      <c r="C50" s="19">
        <f>wyniki!C64</f>
        <v>9.6999999999999993</v>
      </c>
      <c r="D50" s="18">
        <v>-4.8999999999999998E-4</v>
      </c>
      <c r="E50" s="19">
        <f t="shared" si="0"/>
        <v>-9.7004899999999985</v>
      </c>
      <c r="F50" t="str">
        <f>wyniki!$A$63</f>
        <v>SP Podkowa Leśna</v>
      </c>
      <c r="G50" s="19">
        <f t="shared" si="1"/>
        <v>-9.6999999999999993</v>
      </c>
      <c r="J50" s="93" t="str">
        <f t="shared" si="2"/>
        <v>Bąbiak Gabriela</v>
      </c>
      <c r="K50" s="80">
        <f>-LARGE($E$2:$E$241,49)</f>
        <v>9.7004899999999985</v>
      </c>
      <c r="L50" s="67">
        <f t="shared" si="4"/>
        <v>49</v>
      </c>
      <c r="M50" s="85" t="str">
        <f t="shared" si="3"/>
        <v>SP Podkowa Leśna</v>
      </c>
      <c r="N50" s="39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2:39" ht="17.25" thickTop="1" thickBot="1">
      <c r="B51" t="str">
        <f>wyniki!B65</f>
        <v>Hajdenrach Antonina</v>
      </c>
      <c r="C51" s="19">
        <f>wyniki!C65</f>
        <v>9.48</v>
      </c>
      <c r="D51" s="18">
        <v>-5.0000000000000001E-4</v>
      </c>
      <c r="E51" s="19">
        <f t="shared" si="0"/>
        <v>-9.480500000000001</v>
      </c>
      <c r="F51" t="str">
        <f>wyniki!$A$63</f>
        <v>SP Podkowa Leśna</v>
      </c>
      <c r="G51" s="19">
        <f t="shared" si="1"/>
        <v>-9.48</v>
      </c>
      <c r="J51" s="93" t="str">
        <f t="shared" si="2"/>
        <v>Fiuk Julia</v>
      </c>
      <c r="K51" s="80">
        <f>-LARGE($E$2:$E$241,50)</f>
        <v>9.7104400000000002</v>
      </c>
      <c r="L51" s="67">
        <f t="shared" si="4"/>
        <v>44</v>
      </c>
      <c r="M51" s="85" t="str">
        <f t="shared" si="3"/>
        <v>SP11 Siedlce</v>
      </c>
      <c r="N51" s="39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2:39" ht="17.25" thickTop="1" thickBot="1">
      <c r="B52" t="str">
        <f>wyniki!B66</f>
        <v>Kolenda Zofia</v>
      </c>
      <c r="C52" s="19">
        <f>wyniki!C66</f>
        <v>9.4600000000000009</v>
      </c>
      <c r="D52" s="18">
        <v>-5.1000000000000004E-4</v>
      </c>
      <c r="E52" s="19">
        <f t="shared" si="0"/>
        <v>-9.4605100000000011</v>
      </c>
      <c r="F52" t="str">
        <f>wyniki!$A$63</f>
        <v>SP Podkowa Leśna</v>
      </c>
      <c r="G52" s="19">
        <f t="shared" si="1"/>
        <v>-9.4600000000000009</v>
      </c>
      <c r="J52" s="93" t="str">
        <f t="shared" si="2"/>
        <v>Macutkiewicz Wiktoria</v>
      </c>
      <c r="K52" s="80">
        <f>-LARGE($E$2:$E$241,51)</f>
        <v>9.7205300000000001</v>
      </c>
      <c r="L52" s="67">
        <f t="shared" si="4"/>
        <v>53</v>
      </c>
      <c r="M52" s="85" t="str">
        <f t="shared" si="3"/>
        <v>SP Podkowa Leśna</v>
      </c>
      <c r="N52" s="39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2:39" ht="17.25" thickTop="1" thickBot="1">
      <c r="B53" t="str">
        <f>wyniki!B67</f>
        <v>Krutkowska Amelia</v>
      </c>
      <c r="C53" s="19">
        <f>wyniki!C67</f>
        <v>9.4700000000000006</v>
      </c>
      <c r="D53" s="18">
        <v>-5.1999999999999995E-4</v>
      </c>
      <c r="E53" s="19">
        <f t="shared" si="0"/>
        <v>-9.4705200000000005</v>
      </c>
      <c r="F53" t="str">
        <f>wyniki!$A$63</f>
        <v>SP Podkowa Leśna</v>
      </c>
      <c r="G53" s="19">
        <f t="shared" si="1"/>
        <v>-9.4700000000000006</v>
      </c>
      <c r="J53" s="93" t="str">
        <f t="shared" si="2"/>
        <v>Lubowiecka Nadia</v>
      </c>
      <c r="K53" s="80">
        <f>-LARGE($E$2:$E$241,52)</f>
        <v>9.7302700000000009</v>
      </c>
      <c r="L53" s="67">
        <f t="shared" si="4"/>
        <v>27</v>
      </c>
      <c r="M53" s="85" t="str">
        <f t="shared" si="3"/>
        <v>SP2 Chorzele</v>
      </c>
      <c r="N53" s="39">
        <v>52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2:39" ht="17.25" thickTop="1" thickBot="1">
      <c r="B54" t="str">
        <f>wyniki!B68</f>
        <v>Macutkiewicz Wiktoria</v>
      </c>
      <c r="C54" s="19">
        <f>wyniki!C68</f>
        <v>9.7200000000000006</v>
      </c>
      <c r="D54" s="18">
        <v>-5.2999999999999998E-4</v>
      </c>
      <c r="E54" s="19">
        <f t="shared" si="0"/>
        <v>-9.7205300000000001</v>
      </c>
      <c r="F54" t="str">
        <f>wyniki!$A$63</f>
        <v>SP Podkowa Leśna</v>
      </c>
      <c r="G54" s="19">
        <f t="shared" si="1"/>
        <v>-9.7200000000000006</v>
      </c>
      <c r="J54" s="93" t="str">
        <f t="shared" si="2"/>
        <v>Sołtan Amelia</v>
      </c>
      <c r="K54" s="80">
        <f>-LARGE($E$2:$E$241,53)</f>
        <v>9.7506299999999992</v>
      </c>
      <c r="L54" s="67">
        <f t="shared" si="4"/>
        <v>63</v>
      </c>
      <c r="M54" s="85" t="str">
        <f t="shared" si="3"/>
        <v>SP3 Piaseczno</v>
      </c>
      <c r="N54" s="39">
        <v>53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2:39" ht="17.25" thickTop="1" thickBot="1">
      <c r="B55" t="str">
        <f>wyniki!B69</f>
        <v>Tryzno Alicja</v>
      </c>
      <c r="C55" s="19">
        <f>wyniki!C69</f>
        <v>8.9499999999999993</v>
      </c>
      <c r="D55" s="18">
        <v>-5.4000000000000001E-4</v>
      </c>
      <c r="E55" s="19">
        <f t="shared" si="0"/>
        <v>-8.9505400000000002</v>
      </c>
      <c r="F55" t="str">
        <f>wyniki!$A$63</f>
        <v>SP Podkowa Leśna</v>
      </c>
      <c r="G55" s="19">
        <f t="shared" si="1"/>
        <v>-8.9499999999999993</v>
      </c>
      <c r="J55" s="93" t="str">
        <f t="shared" si="2"/>
        <v>Pazio Zofia</v>
      </c>
      <c r="K55" s="80">
        <f>-LARGE($E$2:$E$241,54)</f>
        <v>9.7705799999999989</v>
      </c>
      <c r="L55" s="67">
        <f t="shared" si="4"/>
        <v>58</v>
      </c>
      <c r="M55" s="85" t="str">
        <f t="shared" si="3"/>
        <v>ZSP Lesznowola</v>
      </c>
      <c r="N55" s="39">
        <v>54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2:39" ht="17.25" thickTop="1" thickBot="1">
      <c r="B56" t="str">
        <f>wyniki!B71</f>
        <v>Brzezińska Kinga</v>
      </c>
      <c r="C56" s="19">
        <f>wyniki!C71</f>
        <v>10.02</v>
      </c>
      <c r="D56" s="18">
        <v>-5.5000000000000003E-4</v>
      </c>
      <c r="E56" s="19">
        <f t="shared" si="0"/>
        <v>-10.02055</v>
      </c>
      <c r="F56" t="str">
        <f>wyniki!$A$70</f>
        <v>ZSP Lesznowola</v>
      </c>
      <c r="G56" s="19">
        <f t="shared" si="1"/>
        <v>-10.02</v>
      </c>
      <c r="J56" s="93" t="str">
        <f t="shared" si="2"/>
        <v>Dasiewicz Barbara</v>
      </c>
      <c r="K56" s="80">
        <f>-LARGE($E$2:$E$241,55)</f>
        <v>9.7900799999999997</v>
      </c>
      <c r="L56" s="67">
        <f t="shared" si="4"/>
        <v>8</v>
      </c>
      <c r="M56" s="85" t="str">
        <f t="shared" si="3"/>
        <v>SP204 Warszawa</v>
      </c>
      <c r="N56" s="39">
        <v>55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ht="17.25" thickTop="1" thickBot="1">
      <c r="B57" t="str">
        <f>wyniki!B72</f>
        <v>Marcisz Anna</v>
      </c>
      <c r="C57" s="19">
        <f>wyniki!C72</f>
        <v>9.8699999999999992</v>
      </c>
      <c r="D57" s="18">
        <v>-5.5999999999999995E-4</v>
      </c>
      <c r="E57" s="19">
        <f t="shared" si="0"/>
        <v>-9.8705599999999993</v>
      </c>
      <c r="F57" t="str">
        <f>wyniki!$A$70</f>
        <v>ZSP Lesznowola</v>
      </c>
      <c r="G57" s="19">
        <f t="shared" si="1"/>
        <v>-9.8699999999999992</v>
      </c>
      <c r="J57" s="93" t="str">
        <f t="shared" si="2"/>
        <v>Wikalińska Maria</v>
      </c>
      <c r="K57" s="80">
        <f>-LARGE($E$2:$E$241,56)</f>
        <v>9.81006</v>
      </c>
      <c r="L57" s="67">
        <f t="shared" si="4"/>
        <v>6</v>
      </c>
      <c r="M57" s="85" t="str">
        <f t="shared" si="3"/>
        <v>SP14 Warszawa</v>
      </c>
      <c r="N57" s="39">
        <v>56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ht="17.25" thickTop="1" thickBot="1">
      <c r="B58" t="str">
        <f>wyniki!B73</f>
        <v>Mariańska Magdalena</v>
      </c>
      <c r="C58" s="19">
        <f>wyniki!C73</f>
        <v>9.83</v>
      </c>
      <c r="D58" s="18">
        <v>-5.6999999999999998E-4</v>
      </c>
      <c r="E58" s="19">
        <f t="shared" si="0"/>
        <v>-9.8305699999999998</v>
      </c>
      <c r="F58" t="str">
        <f>wyniki!$A$70</f>
        <v>ZSP Lesznowola</v>
      </c>
      <c r="G58" s="19">
        <f t="shared" si="1"/>
        <v>-9.83</v>
      </c>
      <c r="J58" s="93" t="str">
        <f t="shared" si="2"/>
        <v>Mariańska Magdalena</v>
      </c>
      <c r="K58" s="80">
        <f>-LARGE($E$2:$E$241,57)</f>
        <v>9.8305699999999998</v>
      </c>
      <c r="L58" s="67">
        <f t="shared" si="4"/>
        <v>57</v>
      </c>
      <c r="M58" s="85" t="str">
        <f t="shared" si="3"/>
        <v>ZSP Lesznowola</v>
      </c>
      <c r="N58" s="39">
        <v>57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ht="17.25" thickTop="1" thickBot="1">
      <c r="B59" t="str">
        <f>wyniki!B74</f>
        <v>Pazio Zofia</v>
      </c>
      <c r="C59" s="19">
        <f>wyniki!C74</f>
        <v>9.77</v>
      </c>
      <c r="D59" s="18">
        <v>-5.8E-4</v>
      </c>
      <c r="E59" s="19">
        <f t="shared" si="0"/>
        <v>-9.7705799999999989</v>
      </c>
      <c r="F59" t="str">
        <f>wyniki!$A$70</f>
        <v>ZSP Lesznowola</v>
      </c>
      <c r="G59" s="19">
        <f t="shared" si="1"/>
        <v>-9.77</v>
      </c>
      <c r="J59" s="93" t="str">
        <f t="shared" si="2"/>
        <v>Marcisz Anna</v>
      </c>
      <c r="K59" s="80">
        <f>-LARGE($E$2:$E$241,58)</f>
        <v>9.8705599999999993</v>
      </c>
      <c r="L59" s="67">
        <f t="shared" si="4"/>
        <v>56</v>
      </c>
      <c r="M59" s="85" t="str">
        <f t="shared" si="3"/>
        <v>ZSP Lesznowola</v>
      </c>
      <c r="N59" s="39">
        <v>58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2:39" ht="17.25" thickTop="1" thickBot="1">
      <c r="B60" t="str">
        <f>wyniki!B75</f>
        <v>Przepiórka Julia</v>
      </c>
      <c r="C60" s="19">
        <f>wyniki!C75</f>
        <v>9.93</v>
      </c>
      <c r="D60" s="18">
        <v>-5.9000000000000003E-4</v>
      </c>
      <c r="E60" s="19">
        <f t="shared" si="0"/>
        <v>-9.9305900000000005</v>
      </c>
      <c r="F60" t="str">
        <f>wyniki!$A$70</f>
        <v>ZSP Lesznowola</v>
      </c>
      <c r="G60" s="19">
        <f t="shared" si="1"/>
        <v>-9.93</v>
      </c>
      <c r="J60" s="93" t="str">
        <f t="shared" si="2"/>
        <v>Mikołajewska Iga</v>
      </c>
      <c r="K60" s="80">
        <f>-LARGE($E$2:$E$241,59)</f>
        <v>9.89039</v>
      </c>
      <c r="L60" s="67">
        <f t="shared" si="4"/>
        <v>39</v>
      </c>
      <c r="M60" s="85" t="str">
        <f t="shared" si="3"/>
        <v>SP2 Węgrów</v>
      </c>
      <c r="N60" s="39">
        <v>59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2:39" ht="17.25" thickTop="1" thickBot="1">
      <c r="B61" t="str">
        <f>wyniki!B76</f>
        <v>Szablewska Lena</v>
      </c>
      <c r="C61" s="19">
        <f>wyniki!C76</f>
        <v>9.24</v>
      </c>
      <c r="D61" s="18">
        <v>-5.9999999999999995E-4</v>
      </c>
      <c r="E61" s="19">
        <f t="shared" si="0"/>
        <v>-9.2406000000000006</v>
      </c>
      <c r="F61" t="str">
        <f>wyniki!$A$70</f>
        <v>ZSP Lesznowola</v>
      </c>
      <c r="G61" s="19">
        <f t="shared" si="1"/>
        <v>-9.24</v>
      </c>
      <c r="J61" s="93" t="str">
        <f t="shared" si="2"/>
        <v>Wojsz Paulina</v>
      </c>
      <c r="K61" s="80">
        <f>-LARGE($E$2:$E$241,60)</f>
        <v>9.9002300000000005</v>
      </c>
      <c r="L61" s="67">
        <f t="shared" si="4"/>
        <v>23</v>
      </c>
      <c r="M61" s="85" t="str">
        <f t="shared" si="3"/>
        <v>SP2 Ostrów Maz.</v>
      </c>
      <c r="N61" s="39">
        <v>60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ht="17.25" thickTop="1" thickBot="1">
      <c r="B62" t="str">
        <f>wyniki!B78</f>
        <v>Bany Monika</v>
      </c>
      <c r="C62" s="19">
        <f>wyniki!C78</f>
        <v>8.8800000000000008</v>
      </c>
      <c r="D62" s="18">
        <v>-6.0999999999999997E-4</v>
      </c>
      <c r="E62" s="19">
        <f t="shared" si="0"/>
        <v>-8.8806100000000008</v>
      </c>
      <c r="F62" t="str">
        <f>wyniki!$A$77</f>
        <v>SP3 Piaseczno</v>
      </c>
      <c r="G62" s="19">
        <f t="shared" si="1"/>
        <v>-8.8800000000000008</v>
      </c>
      <c r="J62" s="93" t="str">
        <f t="shared" si="2"/>
        <v>Przepiórka Julia</v>
      </c>
      <c r="K62" s="80">
        <f>-LARGE($E$2:$E$241,61)</f>
        <v>9.9305900000000005</v>
      </c>
      <c r="L62" s="67">
        <f t="shared" si="4"/>
        <v>59</v>
      </c>
      <c r="M62" s="85" t="str">
        <f t="shared" si="3"/>
        <v>ZSP Lesznowola</v>
      </c>
      <c r="N62" s="39">
        <v>61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2:39" ht="17.25" thickTop="1" thickBot="1">
      <c r="B63" t="str">
        <f>wyniki!B79</f>
        <v>Borysiuk Gaja</v>
      </c>
      <c r="C63" s="19">
        <f>wyniki!C79</f>
        <v>9.36</v>
      </c>
      <c r="D63" s="18">
        <v>-6.2E-4</v>
      </c>
      <c r="E63" s="19">
        <f t="shared" si="0"/>
        <v>-9.3606199999999991</v>
      </c>
      <c r="F63" t="str">
        <f>wyniki!$A$77</f>
        <v>SP3 Piaseczno</v>
      </c>
      <c r="G63" s="19">
        <f t="shared" si="1"/>
        <v>-9.36</v>
      </c>
      <c r="J63" s="93" t="str">
        <f t="shared" si="2"/>
        <v>Wachowiak Maja</v>
      </c>
      <c r="K63" s="80">
        <f>-LARGE($E$2:$E$241,62)</f>
        <v>9.9403399999999991</v>
      </c>
      <c r="L63" s="67">
        <f t="shared" si="4"/>
        <v>34</v>
      </c>
      <c r="M63" s="85" t="str">
        <f t="shared" si="3"/>
        <v>SP Bieniewice</v>
      </c>
      <c r="N63" s="39">
        <v>62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ht="17.25" thickTop="1" thickBot="1">
      <c r="B64" t="str">
        <f>wyniki!B80</f>
        <v>Sołtan Amelia</v>
      </c>
      <c r="C64" s="19">
        <f>wyniki!C80</f>
        <v>9.75</v>
      </c>
      <c r="D64" s="18">
        <v>-6.3000000000000003E-4</v>
      </c>
      <c r="E64" s="19">
        <f t="shared" si="0"/>
        <v>-9.7506299999999992</v>
      </c>
      <c r="F64" t="str">
        <f>wyniki!$A$77</f>
        <v>SP3 Piaseczno</v>
      </c>
      <c r="G64" s="19">
        <f t="shared" si="1"/>
        <v>-9.75</v>
      </c>
      <c r="J64" s="93" t="str">
        <f t="shared" si="2"/>
        <v>Gawor Maria</v>
      </c>
      <c r="K64" s="80">
        <f>-LARGE($E$2:$E$241,63)</f>
        <v>9.9501299999999997</v>
      </c>
      <c r="L64" s="67">
        <f t="shared" si="4"/>
        <v>13</v>
      </c>
      <c r="M64" s="85" t="str">
        <f t="shared" si="3"/>
        <v>PSP 2 Radom</v>
      </c>
      <c r="N64" s="39">
        <v>63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ht="17.25" thickTop="1" thickBot="1">
      <c r="B65" t="str">
        <f>wyniki!B81</f>
        <v>Spiechowicz Lidia</v>
      </c>
      <c r="C65" s="19">
        <f>wyniki!C81</f>
        <v>9.57</v>
      </c>
      <c r="D65" s="18">
        <v>-6.4000000000000005E-4</v>
      </c>
      <c r="E65" s="19">
        <f t="shared" si="0"/>
        <v>-9.5706400000000009</v>
      </c>
      <c r="F65" t="str">
        <f>wyniki!$A$77</f>
        <v>SP3 Piaseczno</v>
      </c>
      <c r="G65" s="19">
        <f t="shared" si="1"/>
        <v>-9.57</v>
      </c>
      <c r="J65" s="93" t="str">
        <f t="shared" si="2"/>
        <v>Cisowska Lena</v>
      </c>
      <c r="K65" s="80">
        <f>-LARGE($E$2:$E$241,64)</f>
        <v>9.9800699999999996</v>
      </c>
      <c r="L65" s="67">
        <f t="shared" si="4"/>
        <v>7</v>
      </c>
      <c r="M65" s="85" t="str">
        <f t="shared" si="3"/>
        <v>SP204 Warszawa</v>
      </c>
      <c r="N65" s="39">
        <v>64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2:39" ht="17.25" thickTop="1" thickBot="1">
      <c r="B66" t="str">
        <f>wyniki!B82</f>
        <v>Szulc Amelia</v>
      </c>
      <c r="C66" s="19">
        <f>wyniki!C82</f>
        <v>10.19</v>
      </c>
      <c r="D66" s="18">
        <v>-6.4999999999999997E-4</v>
      </c>
      <c r="E66" s="19">
        <f t="shared" si="0"/>
        <v>-10.19065</v>
      </c>
      <c r="F66" t="str">
        <f>wyniki!$A$77</f>
        <v>SP3 Piaseczno</v>
      </c>
      <c r="G66" s="19">
        <f t="shared" si="1"/>
        <v>-10.19</v>
      </c>
      <c r="J66" s="93" t="str">
        <f t="shared" si="2"/>
        <v>Mościcka Gabriela</v>
      </c>
      <c r="K66" s="80">
        <f>-LARGE($E$2:$E$241,65)</f>
        <v>9.9904600000000006</v>
      </c>
      <c r="L66" s="67">
        <f t="shared" si="4"/>
        <v>46</v>
      </c>
      <c r="M66" s="85" t="str">
        <f t="shared" si="3"/>
        <v>SP11 Siedlce</v>
      </c>
      <c r="N66" s="39">
        <v>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2:39" ht="17.25" thickTop="1" thickBot="1">
      <c r="B67" t="str">
        <f>wyniki!B83</f>
        <v>Wilczyńska Maria</v>
      </c>
      <c r="C67" s="19">
        <f>wyniki!C83</f>
        <v>9.57</v>
      </c>
      <c r="D67" s="18">
        <v>-6.6E-4</v>
      </c>
      <c r="E67" s="19">
        <f t="shared" ref="E67:E130" si="5">IF(C67&gt;1,G67+D67)</f>
        <v>-9.5706600000000002</v>
      </c>
      <c r="F67" t="str">
        <f>wyniki!$A$77</f>
        <v>SP3 Piaseczno</v>
      </c>
      <c r="G67" s="19">
        <f t="shared" ref="G67:G130" si="6">-C67</f>
        <v>-9.57</v>
      </c>
      <c r="J67" s="93" t="str">
        <f t="shared" ref="J67:J130" si="7">INDEX($B$2:$E$241,L67,1)</f>
        <v>Brzezińska Kinga</v>
      </c>
      <c r="K67" s="80">
        <f>-LARGE($E$2:$E$241,66)</f>
        <v>10.02055</v>
      </c>
      <c r="L67" s="67">
        <f t="shared" si="4"/>
        <v>55</v>
      </c>
      <c r="M67" s="85" t="str">
        <f t="shared" ref="M67:M130" si="8">INDEX($E$2:$F$241,L67,2)</f>
        <v>ZSP Lesznowola</v>
      </c>
      <c r="N67" s="39">
        <v>66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2:39" ht="17.25" thickTop="1" thickBot="1">
      <c r="B68" t="str">
        <f>wyniki!B85</f>
        <v>Adamczyk Michalina</v>
      </c>
      <c r="C68" s="19">
        <f>wyniki!C85</f>
        <v>9.5</v>
      </c>
      <c r="D68" s="18">
        <v>-6.7000000000000002E-4</v>
      </c>
      <c r="E68" s="19">
        <f t="shared" si="5"/>
        <v>-9.5006699999999995</v>
      </c>
      <c r="F68" t="str">
        <f>wyniki!$A$84</f>
        <v>ZSP Jedlińsk</v>
      </c>
      <c r="G68" s="19">
        <f t="shared" si="6"/>
        <v>-9.5</v>
      </c>
      <c r="J68" s="93" t="str">
        <f t="shared" si="7"/>
        <v>Wrzeszcz Anna</v>
      </c>
      <c r="K68" s="80">
        <f>-LARGE($E$2:$E$241,67)</f>
        <v>10.060410000000001</v>
      </c>
      <c r="L68" s="67">
        <f t="shared" ref="L68:L131" si="9">MATCH(-K68,$E$2:$E$241,0)</f>
        <v>41</v>
      </c>
      <c r="M68" s="85" t="str">
        <f t="shared" si="8"/>
        <v>SP2 Węgrów</v>
      </c>
      <c r="N68" s="39">
        <v>67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2:39" ht="17.25" thickTop="1" thickBot="1">
      <c r="B69" t="str">
        <f>wyniki!B86</f>
        <v>Dobrowolska Nikola</v>
      </c>
      <c r="C69" s="19">
        <f>wyniki!C86</f>
        <v>9.09</v>
      </c>
      <c r="D69" s="18">
        <v>-6.8000000000000005E-4</v>
      </c>
      <c r="E69" s="19">
        <f t="shared" si="5"/>
        <v>-9.090679999999999</v>
      </c>
      <c r="F69" t="str">
        <f>wyniki!$A$84</f>
        <v>ZSP Jedlińsk</v>
      </c>
      <c r="G69" s="19">
        <f t="shared" si="6"/>
        <v>-9.09</v>
      </c>
      <c r="J69" s="93" t="str">
        <f t="shared" si="7"/>
        <v>Anielska Aleksandra</v>
      </c>
      <c r="K69" s="80">
        <f>-LARGE($E$2:$E$241,68)</f>
        <v>10.180009999999999</v>
      </c>
      <c r="L69" s="67">
        <f t="shared" si="9"/>
        <v>1</v>
      </c>
      <c r="M69" s="85" t="str">
        <f t="shared" si="8"/>
        <v>SP14 Warszawa</v>
      </c>
      <c r="N69" s="39">
        <v>68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2:39" ht="17.25" thickTop="1" thickBot="1">
      <c r="B70" t="str">
        <f>wyniki!B87</f>
        <v>Gryz Amelia</v>
      </c>
      <c r="C70" s="19">
        <f>wyniki!C87</f>
        <v>9.5399999999999991</v>
      </c>
      <c r="D70" s="18">
        <v>-6.8999999999999997E-4</v>
      </c>
      <c r="E70" s="19">
        <f t="shared" si="5"/>
        <v>-9.5406899999999997</v>
      </c>
      <c r="F70" t="str">
        <f>wyniki!$A$84</f>
        <v>ZSP Jedlińsk</v>
      </c>
      <c r="G70" s="19">
        <f t="shared" si="6"/>
        <v>-9.5399999999999991</v>
      </c>
      <c r="J70" s="93" t="str">
        <f t="shared" si="7"/>
        <v>Szulc Amelia</v>
      </c>
      <c r="K70" s="80">
        <f>-LARGE($E$2:$E$241,69)</f>
        <v>10.19065</v>
      </c>
      <c r="L70" s="67">
        <f t="shared" si="9"/>
        <v>65</v>
      </c>
      <c r="M70" s="85" t="str">
        <f t="shared" si="8"/>
        <v>SP3 Piaseczno</v>
      </c>
      <c r="N70" s="39">
        <v>69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2:39" ht="17.25" thickTop="1" thickBot="1">
      <c r="B71" t="str">
        <f>wyniki!B88</f>
        <v>Walczak Łucja</v>
      </c>
      <c r="C71" s="19">
        <f>wyniki!C88</f>
        <v>9.2200000000000006</v>
      </c>
      <c r="D71" s="18">
        <v>-6.9999999999999999E-4</v>
      </c>
      <c r="E71" s="19">
        <f t="shared" si="5"/>
        <v>-9.2207000000000008</v>
      </c>
      <c r="F71" t="str">
        <f>wyniki!$A$84</f>
        <v>ZSP Jedlińsk</v>
      </c>
      <c r="G71" s="19">
        <f t="shared" si="6"/>
        <v>-9.2200000000000006</v>
      </c>
      <c r="J71" s="93" t="str">
        <f t="shared" si="7"/>
        <v>Kowal Natalia</v>
      </c>
      <c r="K71" s="80">
        <f>-LARGE($E$2:$E$241,70)</f>
        <v>10.230450000000001</v>
      </c>
      <c r="L71" s="67">
        <f t="shared" si="9"/>
        <v>45</v>
      </c>
      <c r="M71" s="85" t="str">
        <f t="shared" si="8"/>
        <v>SP11 Siedlce</v>
      </c>
      <c r="N71" s="39">
        <v>70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2:39" ht="17.25" thickTop="1" thickBot="1">
      <c r="B72" t="str">
        <f>wyniki!B89</f>
        <v>Żaczek Maja</v>
      </c>
      <c r="C72" s="19">
        <f>wyniki!C89</f>
        <v>11.87</v>
      </c>
      <c r="D72" s="18">
        <v>-7.1000000000000002E-4</v>
      </c>
      <c r="E72" s="19">
        <f t="shared" si="5"/>
        <v>-11.870709999999999</v>
      </c>
      <c r="F72" t="str">
        <f>wyniki!$A$84</f>
        <v>ZSP Jedlińsk</v>
      </c>
      <c r="G72" s="19">
        <f t="shared" si="6"/>
        <v>-11.87</v>
      </c>
      <c r="J72" s="93" t="str">
        <f t="shared" si="7"/>
        <v>Piotrowska Iga</v>
      </c>
      <c r="K72" s="80">
        <f>-LARGE($E$2:$E$241,71)</f>
        <v>10.29017</v>
      </c>
      <c r="L72" s="67">
        <f t="shared" si="9"/>
        <v>17</v>
      </c>
      <c r="M72" s="85" t="str">
        <f t="shared" si="8"/>
        <v>PSP 2 Radom</v>
      </c>
      <c r="N72" s="39">
        <v>71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2:39" ht="17.25" thickTop="1" thickBot="1">
      <c r="B73" t="str">
        <f>wyniki!B90</f>
        <v>Żaczek Nikola</v>
      </c>
      <c r="C73" s="19">
        <f>wyniki!C90</f>
        <v>9.69</v>
      </c>
      <c r="D73" s="18">
        <v>-7.2000000000000005E-4</v>
      </c>
      <c r="E73" s="19">
        <f t="shared" si="5"/>
        <v>-9.6907199999999989</v>
      </c>
      <c r="F73" t="str">
        <f>wyniki!$A$84</f>
        <v>ZSP Jedlińsk</v>
      </c>
      <c r="G73" s="19">
        <f t="shared" si="6"/>
        <v>-9.69</v>
      </c>
      <c r="J73" s="93" t="str">
        <f t="shared" si="7"/>
        <v>Żaczek Maja</v>
      </c>
      <c r="K73" s="80">
        <f>-LARGE($E$2:$E$241,72)</f>
        <v>11.870709999999999</v>
      </c>
      <c r="L73" s="67">
        <f t="shared" si="9"/>
        <v>71</v>
      </c>
      <c r="M73" s="85" t="str">
        <f t="shared" si="8"/>
        <v>ZSP Jedlińsk</v>
      </c>
      <c r="N73" s="39">
        <v>72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2:39" ht="17.25" thickTop="1" thickBot="1">
      <c r="B74">
        <f>wyniki!B92</f>
        <v>0</v>
      </c>
      <c r="C74" s="19">
        <f>wyniki!C92</f>
        <v>0</v>
      </c>
      <c r="D74" s="18">
        <v>-7.2999999999999996E-4</v>
      </c>
      <c r="E74" s="19" t="b">
        <f t="shared" si="5"/>
        <v>0</v>
      </c>
      <c r="F74">
        <f>wyniki!$A$91</f>
        <v>0</v>
      </c>
      <c r="G74" s="19">
        <f t="shared" si="6"/>
        <v>0</v>
      </c>
      <c r="J74" s="93" t="e">
        <f t="shared" si="7"/>
        <v>#NUM!</v>
      </c>
      <c r="K74" s="80" t="e">
        <f>-LARGE($E$2:$E$241,73)</f>
        <v>#NUM!</v>
      </c>
      <c r="L74" s="67" t="e">
        <f t="shared" si="9"/>
        <v>#NUM!</v>
      </c>
      <c r="M74" s="85" t="e">
        <f t="shared" si="8"/>
        <v>#NUM!</v>
      </c>
      <c r="N74" s="39">
        <v>73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2:39" ht="17.25" thickTop="1" thickBot="1">
      <c r="B75">
        <f>wyniki!B93</f>
        <v>0</v>
      </c>
      <c r="C75" s="19">
        <f>wyniki!C93</f>
        <v>0</v>
      </c>
      <c r="D75" s="18">
        <v>-7.3999999999999999E-4</v>
      </c>
      <c r="E75" s="19" t="b">
        <f t="shared" si="5"/>
        <v>0</v>
      </c>
      <c r="F75">
        <f>wyniki!$A$91</f>
        <v>0</v>
      </c>
      <c r="G75" s="19">
        <f t="shared" si="6"/>
        <v>0</v>
      </c>
      <c r="J75" s="93" t="e">
        <f t="shared" si="7"/>
        <v>#NUM!</v>
      </c>
      <c r="K75" s="80" t="e">
        <f>-LARGE($E$2:$E$241,74)</f>
        <v>#NUM!</v>
      </c>
      <c r="L75" s="67" t="e">
        <f t="shared" si="9"/>
        <v>#NUM!</v>
      </c>
      <c r="M75" s="85" t="e">
        <f t="shared" si="8"/>
        <v>#NUM!</v>
      </c>
      <c r="N75" s="39">
        <v>74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2:39" ht="17.25" thickTop="1" thickBot="1">
      <c r="B76">
        <f>wyniki!B94</f>
        <v>0</v>
      </c>
      <c r="C76" s="19">
        <f>wyniki!C94</f>
        <v>0</v>
      </c>
      <c r="D76" s="18">
        <v>-7.5000000000000002E-4</v>
      </c>
      <c r="E76" s="19" t="b">
        <f t="shared" si="5"/>
        <v>0</v>
      </c>
      <c r="F76">
        <f>wyniki!$A$91</f>
        <v>0</v>
      </c>
      <c r="G76" s="19">
        <f t="shared" si="6"/>
        <v>0</v>
      </c>
      <c r="J76" s="93" t="e">
        <f t="shared" si="7"/>
        <v>#NUM!</v>
      </c>
      <c r="K76" s="80" t="e">
        <f>-LARGE($E$2:$E$241,75)</f>
        <v>#NUM!</v>
      </c>
      <c r="L76" s="67" t="e">
        <f t="shared" si="9"/>
        <v>#NUM!</v>
      </c>
      <c r="M76" s="85" t="e">
        <f t="shared" si="8"/>
        <v>#NUM!</v>
      </c>
      <c r="N76" s="39">
        <v>75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2:39" ht="17.25" thickTop="1" thickBot="1">
      <c r="B77">
        <f>wyniki!B95</f>
        <v>0</v>
      </c>
      <c r="C77" s="19">
        <f>wyniki!C95</f>
        <v>0</v>
      </c>
      <c r="D77" s="18">
        <v>-7.6000000000000004E-4</v>
      </c>
      <c r="E77" s="19" t="b">
        <f t="shared" si="5"/>
        <v>0</v>
      </c>
      <c r="F77">
        <f>wyniki!$A$91</f>
        <v>0</v>
      </c>
      <c r="G77" s="19">
        <f t="shared" si="6"/>
        <v>0</v>
      </c>
      <c r="J77" s="93" t="e">
        <f t="shared" si="7"/>
        <v>#NUM!</v>
      </c>
      <c r="K77" s="80" t="e">
        <f>-LARGE($E$2:$E$241,76)</f>
        <v>#NUM!</v>
      </c>
      <c r="L77" s="67" t="e">
        <f t="shared" si="9"/>
        <v>#NUM!</v>
      </c>
      <c r="M77" s="85" t="e">
        <f t="shared" si="8"/>
        <v>#NUM!</v>
      </c>
      <c r="N77" s="39">
        <v>76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2:39" ht="17.25" thickTop="1" thickBot="1">
      <c r="B78">
        <f>wyniki!B96</f>
        <v>0</v>
      </c>
      <c r="C78" s="19">
        <f>wyniki!C96</f>
        <v>0</v>
      </c>
      <c r="D78" s="18">
        <v>-7.6999999999999996E-4</v>
      </c>
      <c r="E78" s="19" t="b">
        <f t="shared" si="5"/>
        <v>0</v>
      </c>
      <c r="F78">
        <f>wyniki!$A$91</f>
        <v>0</v>
      </c>
      <c r="G78" s="19">
        <f t="shared" si="6"/>
        <v>0</v>
      </c>
      <c r="J78" s="93" t="e">
        <f t="shared" si="7"/>
        <v>#NUM!</v>
      </c>
      <c r="K78" s="80" t="e">
        <f>-LARGE($E$2:$E$241,77)</f>
        <v>#NUM!</v>
      </c>
      <c r="L78" s="67" t="e">
        <f t="shared" si="9"/>
        <v>#NUM!</v>
      </c>
      <c r="M78" s="85" t="e">
        <f t="shared" si="8"/>
        <v>#NUM!</v>
      </c>
      <c r="N78" s="39">
        <v>77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2:39" ht="17.25" thickTop="1" thickBot="1">
      <c r="B79">
        <f>wyniki!B97</f>
        <v>0</v>
      </c>
      <c r="C79" s="19">
        <f>wyniki!C97</f>
        <v>0</v>
      </c>
      <c r="D79" s="18">
        <v>-7.7999999999999999E-4</v>
      </c>
      <c r="E79" s="19" t="b">
        <f t="shared" si="5"/>
        <v>0</v>
      </c>
      <c r="F79">
        <f>wyniki!$A$91</f>
        <v>0</v>
      </c>
      <c r="G79" s="19">
        <f t="shared" si="6"/>
        <v>0</v>
      </c>
      <c r="J79" s="93" t="e">
        <f t="shared" si="7"/>
        <v>#NUM!</v>
      </c>
      <c r="K79" s="80" t="e">
        <f>-LARGE($E$2:$E$241,78)</f>
        <v>#NUM!</v>
      </c>
      <c r="L79" s="67" t="e">
        <f t="shared" si="9"/>
        <v>#NUM!</v>
      </c>
      <c r="M79" s="85" t="e">
        <f t="shared" si="8"/>
        <v>#NUM!</v>
      </c>
      <c r="N79" s="39">
        <v>78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17.25" thickTop="1" thickBot="1">
      <c r="B80">
        <f>wyniki!B99</f>
        <v>0</v>
      </c>
      <c r="C80" s="19">
        <f>wyniki!C99</f>
        <v>0</v>
      </c>
      <c r="D80" s="18">
        <v>-7.9000000000000001E-4</v>
      </c>
      <c r="E80" s="19" t="b">
        <f t="shared" si="5"/>
        <v>0</v>
      </c>
      <c r="F80">
        <f>wyniki!$A$98</f>
        <v>0</v>
      </c>
      <c r="G80" s="19">
        <f t="shared" si="6"/>
        <v>0</v>
      </c>
      <c r="J80" s="93" t="e">
        <f t="shared" si="7"/>
        <v>#NUM!</v>
      </c>
      <c r="K80" s="80" t="e">
        <f>-LARGE($E$2:$E$241,79)</f>
        <v>#NUM!</v>
      </c>
      <c r="L80" s="67" t="e">
        <f t="shared" si="9"/>
        <v>#NUM!</v>
      </c>
      <c r="M80" s="85" t="e">
        <f t="shared" si="8"/>
        <v>#NUM!</v>
      </c>
      <c r="N80" s="39">
        <v>79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2:39" ht="17.25" thickTop="1" thickBot="1">
      <c r="B81">
        <f>wyniki!B100</f>
        <v>0</v>
      </c>
      <c r="C81" s="19">
        <f>wyniki!C100</f>
        <v>0</v>
      </c>
      <c r="D81" s="18">
        <v>-8.0000000000000004E-4</v>
      </c>
      <c r="E81" s="19" t="b">
        <f t="shared" si="5"/>
        <v>0</v>
      </c>
      <c r="F81">
        <f>wyniki!$A$98</f>
        <v>0</v>
      </c>
      <c r="G81" s="19">
        <f t="shared" si="6"/>
        <v>0</v>
      </c>
      <c r="J81" s="93" t="e">
        <f t="shared" si="7"/>
        <v>#NUM!</v>
      </c>
      <c r="K81" s="80" t="e">
        <f>-LARGE($E$2:$E$241,80)</f>
        <v>#NUM!</v>
      </c>
      <c r="L81" s="67" t="e">
        <f t="shared" si="9"/>
        <v>#NUM!</v>
      </c>
      <c r="M81" s="85" t="e">
        <f t="shared" si="8"/>
        <v>#NUM!</v>
      </c>
      <c r="N81" s="39">
        <v>80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2:39" ht="17.25" thickTop="1" thickBot="1">
      <c r="B82">
        <f>wyniki!B101</f>
        <v>0</v>
      </c>
      <c r="C82" s="19">
        <f>wyniki!C101</f>
        <v>0</v>
      </c>
      <c r="D82" s="18">
        <v>-8.0999999999999996E-4</v>
      </c>
      <c r="E82" s="19" t="b">
        <f t="shared" si="5"/>
        <v>0</v>
      </c>
      <c r="F82">
        <f>wyniki!$A$98</f>
        <v>0</v>
      </c>
      <c r="G82" s="19">
        <f t="shared" si="6"/>
        <v>0</v>
      </c>
      <c r="J82" s="93" t="e">
        <f t="shared" si="7"/>
        <v>#NUM!</v>
      </c>
      <c r="K82" s="80" t="e">
        <f>-LARGE($E$2:$E$241,81)</f>
        <v>#NUM!</v>
      </c>
      <c r="L82" s="67" t="e">
        <f t="shared" si="9"/>
        <v>#NUM!</v>
      </c>
      <c r="M82" s="85" t="e">
        <f t="shared" si="8"/>
        <v>#NUM!</v>
      </c>
      <c r="N82" s="39">
        <v>81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2:39" ht="17.25" thickTop="1" thickBot="1">
      <c r="B83">
        <f>wyniki!B102</f>
        <v>0</v>
      </c>
      <c r="C83" s="19">
        <f>wyniki!C102</f>
        <v>0</v>
      </c>
      <c r="D83" s="18">
        <v>-8.1999999999999998E-4</v>
      </c>
      <c r="E83" s="19" t="b">
        <f t="shared" si="5"/>
        <v>0</v>
      </c>
      <c r="F83">
        <f>wyniki!$A$98</f>
        <v>0</v>
      </c>
      <c r="G83" s="19">
        <f t="shared" si="6"/>
        <v>0</v>
      </c>
      <c r="J83" s="93" t="e">
        <f t="shared" si="7"/>
        <v>#NUM!</v>
      </c>
      <c r="K83" s="80" t="e">
        <f>-LARGE($E$2:$E$241,82)</f>
        <v>#NUM!</v>
      </c>
      <c r="L83" s="67" t="e">
        <f t="shared" si="9"/>
        <v>#NUM!</v>
      </c>
      <c r="M83" s="85" t="e">
        <f t="shared" si="8"/>
        <v>#NUM!</v>
      </c>
      <c r="N83" s="39">
        <v>82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2:39" ht="17.25" thickTop="1" thickBot="1">
      <c r="B84">
        <f>wyniki!B103</f>
        <v>0</v>
      </c>
      <c r="C84" s="19">
        <f>wyniki!C103</f>
        <v>0</v>
      </c>
      <c r="D84" s="18">
        <v>-8.3000000000000001E-4</v>
      </c>
      <c r="E84" s="19" t="b">
        <f t="shared" si="5"/>
        <v>0</v>
      </c>
      <c r="F84">
        <f>wyniki!$A$98</f>
        <v>0</v>
      </c>
      <c r="G84" s="19">
        <f t="shared" si="6"/>
        <v>0</v>
      </c>
      <c r="J84" s="93" t="e">
        <f t="shared" si="7"/>
        <v>#NUM!</v>
      </c>
      <c r="K84" s="80" t="e">
        <f>-LARGE($E$2:$E$241,83)</f>
        <v>#NUM!</v>
      </c>
      <c r="L84" s="67" t="e">
        <f t="shared" si="9"/>
        <v>#NUM!</v>
      </c>
      <c r="M84" s="85" t="e">
        <f t="shared" si="8"/>
        <v>#NUM!</v>
      </c>
      <c r="N84" s="39">
        <v>83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2:39" ht="17.25" thickTop="1" thickBot="1">
      <c r="B85">
        <f>wyniki!B104</f>
        <v>0</v>
      </c>
      <c r="C85" s="19">
        <f>wyniki!C104</f>
        <v>0</v>
      </c>
      <c r="D85" s="18">
        <v>-8.4000000000000003E-4</v>
      </c>
      <c r="E85" s="19" t="b">
        <f t="shared" si="5"/>
        <v>0</v>
      </c>
      <c r="F85">
        <f>wyniki!$A$98</f>
        <v>0</v>
      </c>
      <c r="G85" s="19">
        <f t="shared" si="6"/>
        <v>0</v>
      </c>
      <c r="J85" s="93" t="e">
        <f t="shared" si="7"/>
        <v>#NUM!</v>
      </c>
      <c r="K85" s="80" t="e">
        <f>-LARGE($E$2:$E$241,84)</f>
        <v>#NUM!</v>
      </c>
      <c r="L85" s="67" t="e">
        <f t="shared" si="9"/>
        <v>#NUM!</v>
      </c>
      <c r="M85" s="85" t="e">
        <f t="shared" si="8"/>
        <v>#NUM!</v>
      </c>
      <c r="N85" s="39">
        <v>84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2:39" ht="17.25" thickTop="1" thickBot="1">
      <c r="B86">
        <f>wyniki!B106</f>
        <v>0</v>
      </c>
      <c r="C86" s="19">
        <f>wyniki!C106</f>
        <v>0</v>
      </c>
      <c r="D86" s="18">
        <v>-8.4999999999999995E-4</v>
      </c>
      <c r="E86" s="19" t="b">
        <f t="shared" si="5"/>
        <v>0</v>
      </c>
      <c r="F86">
        <f>wyniki!$A$105</f>
        <v>0</v>
      </c>
      <c r="G86" s="19">
        <f t="shared" si="6"/>
        <v>0</v>
      </c>
      <c r="J86" s="93" t="e">
        <f t="shared" si="7"/>
        <v>#NUM!</v>
      </c>
      <c r="K86" s="80" t="e">
        <f>-LARGE($E$2:$E$241,85)</f>
        <v>#NUM!</v>
      </c>
      <c r="L86" s="67" t="e">
        <f t="shared" si="9"/>
        <v>#NUM!</v>
      </c>
      <c r="M86" s="85" t="e">
        <f t="shared" si="8"/>
        <v>#NUM!</v>
      </c>
      <c r="N86" s="39">
        <v>85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2:39" ht="17.25" thickTop="1" thickBot="1">
      <c r="B87">
        <f>wyniki!B107</f>
        <v>0</v>
      </c>
      <c r="C87" s="19">
        <f>wyniki!C107</f>
        <v>0</v>
      </c>
      <c r="D87" s="18">
        <v>-8.5999999999999998E-4</v>
      </c>
      <c r="E87" s="19" t="b">
        <f t="shared" si="5"/>
        <v>0</v>
      </c>
      <c r="F87">
        <f>wyniki!$A$105</f>
        <v>0</v>
      </c>
      <c r="G87" s="19">
        <f t="shared" si="6"/>
        <v>0</v>
      </c>
      <c r="J87" s="93" t="e">
        <f t="shared" si="7"/>
        <v>#NUM!</v>
      </c>
      <c r="K87" s="80" t="e">
        <f>-LARGE($E$2:$E$241,86)</f>
        <v>#NUM!</v>
      </c>
      <c r="L87" s="67" t="e">
        <f t="shared" si="9"/>
        <v>#NUM!</v>
      </c>
      <c r="M87" s="85" t="e">
        <f t="shared" si="8"/>
        <v>#NUM!</v>
      </c>
      <c r="N87" s="39">
        <v>86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2:39" ht="17.25" thickTop="1" thickBot="1">
      <c r="B88">
        <f>wyniki!B108</f>
        <v>0</v>
      </c>
      <c r="C88" s="19">
        <f>wyniki!C108</f>
        <v>0</v>
      </c>
      <c r="D88" s="18">
        <v>-8.7000000000000001E-4</v>
      </c>
      <c r="E88" s="19" t="b">
        <f t="shared" si="5"/>
        <v>0</v>
      </c>
      <c r="F88">
        <f>wyniki!$A$105</f>
        <v>0</v>
      </c>
      <c r="G88" s="19">
        <f t="shared" si="6"/>
        <v>0</v>
      </c>
      <c r="J88" s="93" t="e">
        <f t="shared" si="7"/>
        <v>#NUM!</v>
      </c>
      <c r="K88" s="80" t="e">
        <f>-LARGE($E$2:$E$241,87)</f>
        <v>#NUM!</v>
      </c>
      <c r="L88" s="67" t="e">
        <f t="shared" si="9"/>
        <v>#NUM!</v>
      </c>
      <c r="M88" s="85" t="e">
        <f t="shared" si="8"/>
        <v>#NUM!</v>
      </c>
      <c r="N88" s="39">
        <v>87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2:39" ht="17.25" thickTop="1" thickBot="1">
      <c r="B89">
        <f>wyniki!B109</f>
        <v>0</v>
      </c>
      <c r="C89" s="19">
        <f>wyniki!C109</f>
        <v>0</v>
      </c>
      <c r="D89" s="18">
        <v>-8.8000000000000003E-4</v>
      </c>
      <c r="E89" s="19" t="b">
        <f t="shared" si="5"/>
        <v>0</v>
      </c>
      <c r="F89">
        <f>wyniki!$A$105</f>
        <v>0</v>
      </c>
      <c r="G89" s="19">
        <f t="shared" si="6"/>
        <v>0</v>
      </c>
      <c r="J89" s="93" t="e">
        <f t="shared" si="7"/>
        <v>#NUM!</v>
      </c>
      <c r="K89" s="80" t="e">
        <f>-LARGE($E$2:$E$241,88)</f>
        <v>#NUM!</v>
      </c>
      <c r="L89" s="67" t="e">
        <f t="shared" si="9"/>
        <v>#NUM!</v>
      </c>
      <c r="M89" s="85" t="e">
        <f t="shared" si="8"/>
        <v>#NUM!</v>
      </c>
      <c r="N89" s="39">
        <v>88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2:39" ht="17.25" thickTop="1" thickBot="1">
      <c r="B90">
        <f>wyniki!B110</f>
        <v>0</v>
      </c>
      <c r="C90" s="19">
        <f>wyniki!C110</f>
        <v>0</v>
      </c>
      <c r="D90" s="18">
        <v>-8.8999999999999995E-4</v>
      </c>
      <c r="E90" s="19" t="b">
        <f t="shared" si="5"/>
        <v>0</v>
      </c>
      <c r="F90">
        <f>wyniki!$A$105</f>
        <v>0</v>
      </c>
      <c r="G90" s="19">
        <f t="shared" si="6"/>
        <v>0</v>
      </c>
      <c r="J90" s="93" t="e">
        <f t="shared" si="7"/>
        <v>#NUM!</v>
      </c>
      <c r="K90" s="80" t="e">
        <f>-LARGE($E$2:$E$241,89)</f>
        <v>#NUM!</v>
      </c>
      <c r="L90" s="67" t="e">
        <f t="shared" si="9"/>
        <v>#NUM!</v>
      </c>
      <c r="M90" s="85" t="e">
        <f t="shared" si="8"/>
        <v>#NUM!</v>
      </c>
      <c r="N90" s="39">
        <v>89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2:39" ht="17.25" thickTop="1" thickBot="1">
      <c r="B91">
        <f>wyniki!B111</f>
        <v>0</v>
      </c>
      <c r="C91" s="19">
        <f>wyniki!C111</f>
        <v>0</v>
      </c>
      <c r="D91" s="18">
        <v>-8.9999999999999998E-4</v>
      </c>
      <c r="E91" s="19" t="b">
        <f t="shared" si="5"/>
        <v>0</v>
      </c>
      <c r="F91">
        <f>wyniki!$A$105</f>
        <v>0</v>
      </c>
      <c r="G91" s="19">
        <f t="shared" si="6"/>
        <v>0</v>
      </c>
      <c r="J91" s="93" t="e">
        <f t="shared" si="7"/>
        <v>#NUM!</v>
      </c>
      <c r="K91" s="80" t="e">
        <f>-LARGE($E$2:$E$241,90)</f>
        <v>#NUM!</v>
      </c>
      <c r="L91" s="67" t="e">
        <f t="shared" si="9"/>
        <v>#NUM!</v>
      </c>
      <c r="M91" s="85" t="e">
        <f t="shared" si="8"/>
        <v>#NUM!</v>
      </c>
      <c r="N91" s="39">
        <v>90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2:39" ht="17.25" thickTop="1" thickBot="1">
      <c r="B92">
        <f>wyniki!B113</f>
        <v>0</v>
      </c>
      <c r="C92" s="19">
        <f>wyniki!C113</f>
        <v>0</v>
      </c>
      <c r="D92" s="18">
        <v>-9.1E-4</v>
      </c>
      <c r="E92" s="19" t="b">
        <f t="shared" si="5"/>
        <v>0</v>
      </c>
      <c r="F92">
        <f>wyniki!$A$112</f>
        <v>0</v>
      </c>
      <c r="G92" s="19">
        <f t="shared" si="6"/>
        <v>0</v>
      </c>
      <c r="J92" s="93" t="e">
        <f t="shared" si="7"/>
        <v>#NUM!</v>
      </c>
      <c r="K92" s="80" t="e">
        <f>-LARGE($E$2:$E$241,91)</f>
        <v>#NUM!</v>
      </c>
      <c r="L92" s="67" t="e">
        <f t="shared" si="9"/>
        <v>#NUM!</v>
      </c>
      <c r="M92" s="85" t="e">
        <f t="shared" si="8"/>
        <v>#NUM!</v>
      </c>
      <c r="N92" s="39">
        <v>91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2:39" ht="17.25" thickTop="1" thickBot="1">
      <c r="B93">
        <f>wyniki!B114</f>
        <v>0</v>
      </c>
      <c r="C93" s="19">
        <f>wyniki!C114</f>
        <v>0</v>
      </c>
      <c r="D93" s="18">
        <v>-9.2000000000000003E-4</v>
      </c>
      <c r="E93" s="19" t="b">
        <f t="shared" si="5"/>
        <v>0</v>
      </c>
      <c r="F93">
        <f>wyniki!$A$112</f>
        <v>0</v>
      </c>
      <c r="G93" s="19">
        <f t="shared" si="6"/>
        <v>0</v>
      </c>
      <c r="J93" s="93" t="e">
        <f t="shared" si="7"/>
        <v>#NUM!</v>
      </c>
      <c r="K93" s="80" t="e">
        <f>-LARGE($E$2:$E$241,92)</f>
        <v>#NUM!</v>
      </c>
      <c r="L93" s="67" t="e">
        <f t="shared" si="9"/>
        <v>#NUM!</v>
      </c>
      <c r="M93" s="85" t="e">
        <f t="shared" si="8"/>
        <v>#NUM!</v>
      </c>
      <c r="N93" s="39">
        <v>92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2:39" ht="17.25" thickTop="1" thickBot="1">
      <c r="B94">
        <f>wyniki!B115</f>
        <v>0</v>
      </c>
      <c r="C94" s="19">
        <f>wyniki!C115</f>
        <v>0</v>
      </c>
      <c r="D94" s="18">
        <v>-9.3000000000000005E-4</v>
      </c>
      <c r="E94" s="19" t="b">
        <f t="shared" si="5"/>
        <v>0</v>
      </c>
      <c r="F94">
        <f>wyniki!$A$112</f>
        <v>0</v>
      </c>
      <c r="G94" s="19">
        <f t="shared" si="6"/>
        <v>0</v>
      </c>
      <c r="J94" s="93" t="e">
        <f t="shared" si="7"/>
        <v>#NUM!</v>
      </c>
      <c r="K94" s="80" t="e">
        <f>-LARGE($E$2:$E$241,93)</f>
        <v>#NUM!</v>
      </c>
      <c r="L94" s="67" t="e">
        <f t="shared" si="9"/>
        <v>#NUM!</v>
      </c>
      <c r="M94" s="85" t="e">
        <f t="shared" si="8"/>
        <v>#NUM!</v>
      </c>
      <c r="N94" s="39">
        <v>93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spans="2:39" ht="17.25" thickTop="1" thickBot="1">
      <c r="B95">
        <f>wyniki!B116</f>
        <v>0</v>
      </c>
      <c r="C95" s="19">
        <f>wyniki!C116</f>
        <v>0</v>
      </c>
      <c r="D95" s="18">
        <v>-9.3999999999999997E-4</v>
      </c>
      <c r="E95" s="19" t="b">
        <f t="shared" si="5"/>
        <v>0</v>
      </c>
      <c r="F95">
        <f>wyniki!$A$112</f>
        <v>0</v>
      </c>
      <c r="G95" s="19">
        <f t="shared" si="6"/>
        <v>0</v>
      </c>
      <c r="J95" s="93" t="e">
        <f t="shared" si="7"/>
        <v>#NUM!</v>
      </c>
      <c r="K95" s="80" t="e">
        <f>-LARGE($E$2:$E$241,94)</f>
        <v>#NUM!</v>
      </c>
      <c r="L95" s="67" t="e">
        <f t="shared" si="9"/>
        <v>#NUM!</v>
      </c>
      <c r="M95" s="85" t="e">
        <f t="shared" si="8"/>
        <v>#NUM!</v>
      </c>
      <c r="N95" s="39">
        <v>94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2:39" ht="17.25" thickTop="1" thickBot="1">
      <c r="B96">
        <f>wyniki!B117</f>
        <v>0</v>
      </c>
      <c r="C96" s="19">
        <f>wyniki!C117</f>
        <v>0</v>
      </c>
      <c r="D96" s="18">
        <v>-9.5E-4</v>
      </c>
      <c r="E96" s="19" t="b">
        <f t="shared" si="5"/>
        <v>0</v>
      </c>
      <c r="F96">
        <f>wyniki!$A$112</f>
        <v>0</v>
      </c>
      <c r="G96" s="19">
        <f t="shared" si="6"/>
        <v>0</v>
      </c>
      <c r="J96" s="93" t="e">
        <f t="shared" si="7"/>
        <v>#NUM!</v>
      </c>
      <c r="K96" s="80" t="e">
        <f>-LARGE($E$2:$E$241,95)</f>
        <v>#NUM!</v>
      </c>
      <c r="L96" s="67" t="e">
        <f t="shared" si="9"/>
        <v>#NUM!</v>
      </c>
      <c r="M96" s="85" t="e">
        <f t="shared" si="8"/>
        <v>#NUM!</v>
      </c>
      <c r="N96" s="39">
        <v>95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2:39" ht="17.25" thickTop="1" thickBot="1">
      <c r="B97">
        <f>wyniki!B118</f>
        <v>0</v>
      </c>
      <c r="C97" s="19">
        <f>wyniki!C118</f>
        <v>0</v>
      </c>
      <c r="D97" s="18">
        <v>-9.6000000000000002E-4</v>
      </c>
      <c r="E97" s="19" t="b">
        <f t="shared" si="5"/>
        <v>0</v>
      </c>
      <c r="F97">
        <f>wyniki!$A$112</f>
        <v>0</v>
      </c>
      <c r="G97" s="19">
        <f t="shared" si="6"/>
        <v>0</v>
      </c>
      <c r="J97" s="93" t="e">
        <f t="shared" si="7"/>
        <v>#NUM!</v>
      </c>
      <c r="K97" s="80" t="e">
        <f>-LARGE($E$2:$E$241,96)</f>
        <v>#NUM!</v>
      </c>
      <c r="L97" s="67" t="e">
        <f t="shared" si="9"/>
        <v>#NUM!</v>
      </c>
      <c r="M97" s="85" t="e">
        <f t="shared" si="8"/>
        <v>#NUM!</v>
      </c>
      <c r="N97" s="39">
        <v>96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2:39" ht="17.25" thickTop="1" thickBot="1">
      <c r="B98">
        <f>wyniki!B120</f>
        <v>0</v>
      </c>
      <c r="C98" s="19">
        <f>wyniki!C120</f>
        <v>0</v>
      </c>
      <c r="D98" s="18">
        <v>-9.7000000000000005E-4</v>
      </c>
      <c r="E98" s="19" t="b">
        <f t="shared" si="5"/>
        <v>0</v>
      </c>
      <c r="F98">
        <f>wyniki!$A$119</f>
        <v>0</v>
      </c>
      <c r="G98" s="19">
        <f t="shared" si="6"/>
        <v>0</v>
      </c>
      <c r="J98" s="93" t="e">
        <f t="shared" si="7"/>
        <v>#NUM!</v>
      </c>
      <c r="K98" s="80" t="e">
        <f>-LARGE($E$2:$E$241,97)</f>
        <v>#NUM!</v>
      </c>
      <c r="L98" s="67" t="e">
        <f t="shared" si="9"/>
        <v>#NUM!</v>
      </c>
      <c r="M98" s="85" t="e">
        <f t="shared" si="8"/>
        <v>#NUM!</v>
      </c>
      <c r="N98" s="39">
        <v>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2:39" ht="17.25" thickTop="1" thickBot="1">
      <c r="B99">
        <f>wyniki!B121</f>
        <v>0</v>
      </c>
      <c r="C99" s="19">
        <f>wyniki!C121</f>
        <v>0</v>
      </c>
      <c r="D99" s="18">
        <v>-9.7999999999999997E-4</v>
      </c>
      <c r="E99" s="19" t="b">
        <f t="shared" si="5"/>
        <v>0</v>
      </c>
      <c r="F99">
        <f>wyniki!$A$119</f>
        <v>0</v>
      </c>
      <c r="G99" s="19">
        <f t="shared" si="6"/>
        <v>0</v>
      </c>
      <c r="J99" s="93" t="e">
        <f t="shared" si="7"/>
        <v>#NUM!</v>
      </c>
      <c r="K99" s="80" t="e">
        <f>-LARGE($E$2:$E$241,98)</f>
        <v>#NUM!</v>
      </c>
      <c r="L99" s="67" t="e">
        <f t="shared" si="9"/>
        <v>#NUM!</v>
      </c>
      <c r="M99" s="85" t="e">
        <f t="shared" si="8"/>
        <v>#NUM!</v>
      </c>
      <c r="N99" s="39">
        <v>98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2:39" ht="17.25" thickTop="1" thickBot="1">
      <c r="B100">
        <f>wyniki!B122</f>
        <v>0</v>
      </c>
      <c r="C100" s="19">
        <f>wyniki!C122</f>
        <v>0</v>
      </c>
      <c r="D100" s="18">
        <v>-9.8999999999999999E-4</v>
      </c>
      <c r="E100" s="19" t="b">
        <f t="shared" si="5"/>
        <v>0</v>
      </c>
      <c r="F100">
        <f>wyniki!$A$119</f>
        <v>0</v>
      </c>
      <c r="G100" s="19">
        <f t="shared" si="6"/>
        <v>0</v>
      </c>
      <c r="J100" s="93" t="e">
        <f t="shared" si="7"/>
        <v>#NUM!</v>
      </c>
      <c r="K100" s="80" t="e">
        <f>-LARGE($E$2:$E$241,99)</f>
        <v>#NUM!</v>
      </c>
      <c r="L100" s="67" t="e">
        <f t="shared" si="9"/>
        <v>#NUM!</v>
      </c>
      <c r="M100" s="85" t="e">
        <f t="shared" si="8"/>
        <v>#NUM!</v>
      </c>
      <c r="N100" s="39">
        <v>99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2:39" ht="17.25" thickTop="1" thickBot="1">
      <c r="B101">
        <f>wyniki!B123</f>
        <v>0</v>
      </c>
      <c r="C101" s="19">
        <f>wyniki!C123</f>
        <v>0</v>
      </c>
      <c r="D101" s="18">
        <v>-1E-3</v>
      </c>
      <c r="E101" s="19" t="b">
        <f t="shared" si="5"/>
        <v>0</v>
      </c>
      <c r="F101">
        <f>wyniki!$A$119</f>
        <v>0</v>
      </c>
      <c r="G101" s="19">
        <f t="shared" si="6"/>
        <v>0</v>
      </c>
      <c r="J101" s="93" t="e">
        <f t="shared" si="7"/>
        <v>#NUM!</v>
      </c>
      <c r="K101" s="80" t="e">
        <f>-LARGE($E$2:$E$241,100)</f>
        <v>#NUM!</v>
      </c>
      <c r="L101" s="67" t="e">
        <f t="shared" si="9"/>
        <v>#NUM!</v>
      </c>
      <c r="M101" s="85" t="e">
        <f t="shared" si="8"/>
        <v>#NUM!</v>
      </c>
      <c r="N101" s="39">
        <v>100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</row>
    <row r="102" spans="2:39" ht="17.25" thickTop="1" thickBot="1">
      <c r="B102">
        <f>wyniki!B124</f>
        <v>0</v>
      </c>
      <c r="C102" s="19">
        <f>wyniki!C124</f>
        <v>0</v>
      </c>
      <c r="D102" s="18">
        <v>-1.01E-3</v>
      </c>
      <c r="E102" s="19" t="b">
        <f t="shared" si="5"/>
        <v>0</v>
      </c>
      <c r="F102">
        <f>wyniki!$A$119</f>
        <v>0</v>
      </c>
      <c r="G102" s="19">
        <f t="shared" si="6"/>
        <v>0</v>
      </c>
      <c r="J102" s="93" t="e">
        <f t="shared" si="7"/>
        <v>#NUM!</v>
      </c>
      <c r="K102" s="80" t="e">
        <f>-LARGE($E$2:$E$241,101)</f>
        <v>#NUM!</v>
      </c>
      <c r="L102" s="67" t="e">
        <f t="shared" si="9"/>
        <v>#NUM!</v>
      </c>
      <c r="M102" s="85" t="e">
        <f t="shared" si="8"/>
        <v>#NUM!</v>
      </c>
      <c r="N102" s="39">
        <v>101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2:39" ht="17.25" thickTop="1" thickBot="1">
      <c r="B103">
        <f>wyniki!B125</f>
        <v>0</v>
      </c>
      <c r="C103" s="19">
        <f>wyniki!C125</f>
        <v>0</v>
      </c>
      <c r="D103" s="18">
        <v>-1.0200000000000001E-3</v>
      </c>
      <c r="E103" s="19" t="b">
        <f t="shared" si="5"/>
        <v>0</v>
      </c>
      <c r="F103">
        <f>wyniki!$A$119</f>
        <v>0</v>
      </c>
      <c r="G103" s="19">
        <f t="shared" si="6"/>
        <v>0</v>
      </c>
      <c r="J103" s="93" t="e">
        <f t="shared" si="7"/>
        <v>#NUM!</v>
      </c>
      <c r="K103" s="80" t="e">
        <f>-LARGE($E$2:$E$241,102)</f>
        <v>#NUM!</v>
      </c>
      <c r="L103" s="67" t="e">
        <f t="shared" si="9"/>
        <v>#NUM!</v>
      </c>
      <c r="M103" s="85" t="e">
        <f t="shared" si="8"/>
        <v>#NUM!</v>
      </c>
      <c r="N103" s="39">
        <v>102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2:39" ht="17.25" thickTop="1" thickBot="1">
      <c r="B104">
        <f>wyniki!B127</f>
        <v>0</v>
      </c>
      <c r="C104" s="19">
        <f>wyniki!C127</f>
        <v>0</v>
      </c>
      <c r="D104" s="18">
        <v>-1.0300000000000001E-3</v>
      </c>
      <c r="E104" s="19" t="b">
        <f t="shared" si="5"/>
        <v>0</v>
      </c>
      <c r="F104">
        <f>wyniki!$A$126</f>
        <v>0</v>
      </c>
      <c r="G104" s="19">
        <f t="shared" si="6"/>
        <v>0</v>
      </c>
      <c r="J104" s="93" t="e">
        <f t="shared" si="7"/>
        <v>#NUM!</v>
      </c>
      <c r="K104" s="80" t="e">
        <f>-LARGE($E$2:$E$241,103)</f>
        <v>#NUM!</v>
      </c>
      <c r="L104" s="67" t="e">
        <f t="shared" si="9"/>
        <v>#NUM!</v>
      </c>
      <c r="M104" s="85" t="e">
        <f t="shared" si="8"/>
        <v>#NUM!</v>
      </c>
      <c r="N104" s="39">
        <v>103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  <row r="105" spans="2:39" ht="17.25" thickTop="1" thickBot="1">
      <c r="B105">
        <f>wyniki!B128</f>
        <v>0</v>
      </c>
      <c r="C105" s="19">
        <f>wyniki!C128</f>
        <v>0</v>
      </c>
      <c r="D105" s="18">
        <v>-1.0399999999999999E-3</v>
      </c>
      <c r="E105" s="19" t="b">
        <f t="shared" si="5"/>
        <v>0</v>
      </c>
      <c r="F105">
        <f>wyniki!$A$126</f>
        <v>0</v>
      </c>
      <c r="G105" s="19">
        <f t="shared" si="6"/>
        <v>0</v>
      </c>
      <c r="J105" s="93" t="e">
        <f t="shared" si="7"/>
        <v>#NUM!</v>
      </c>
      <c r="K105" s="80" t="e">
        <f>-LARGE($E$2:$E$241,104)</f>
        <v>#NUM!</v>
      </c>
      <c r="L105" s="67" t="e">
        <f t="shared" si="9"/>
        <v>#NUM!</v>
      </c>
      <c r="M105" s="85" t="e">
        <f t="shared" si="8"/>
        <v>#NUM!</v>
      </c>
      <c r="N105" s="39">
        <v>104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</row>
    <row r="106" spans="2:39" ht="17.25" thickTop="1" thickBot="1">
      <c r="B106">
        <f>wyniki!B129</f>
        <v>0</v>
      </c>
      <c r="C106" s="19">
        <f>wyniki!C129</f>
        <v>0</v>
      </c>
      <c r="D106" s="18">
        <v>-1.0499999999999999E-3</v>
      </c>
      <c r="E106" s="19" t="b">
        <f t="shared" si="5"/>
        <v>0</v>
      </c>
      <c r="F106">
        <f>wyniki!$A$126</f>
        <v>0</v>
      </c>
      <c r="G106" s="19">
        <f t="shared" si="6"/>
        <v>0</v>
      </c>
      <c r="J106" s="93" t="e">
        <f t="shared" si="7"/>
        <v>#NUM!</v>
      </c>
      <c r="K106" s="80" t="e">
        <f>-LARGE($E$2:$E$241,105)</f>
        <v>#NUM!</v>
      </c>
      <c r="L106" s="67" t="e">
        <f t="shared" si="9"/>
        <v>#NUM!</v>
      </c>
      <c r="M106" s="85" t="e">
        <f t="shared" si="8"/>
        <v>#NUM!</v>
      </c>
      <c r="N106" s="39">
        <v>105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</row>
    <row r="107" spans="2:39" ht="17.25" thickTop="1" thickBot="1">
      <c r="B107">
        <f>wyniki!B130</f>
        <v>0</v>
      </c>
      <c r="C107" s="19">
        <f>wyniki!C130</f>
        <v>0</v>
      </c>
      <c r="D107" s="18">
        <v>-1.06E-3</v>
      </c>
      <c r="E107" s="19" t="b">
        <f t="shared" si="5"/>
        <v>0</v>
      </c>
      <c r="F107">
        <f>wyniki!$A$126</f>
        <v>0</v>
      </c>
      <c r="G107" s="19">
        <f t="shared" si="6"/>
        <v>0</v>
      </c>
      <c r="J107" s="93" t="e">
        <f t="shared" si="7"/>
        <v>#NUM!</v>
      </c>
      <c r="K107" s="80" t="e">
        <f>-LARGE($E$2:$E$241,106)</f>
        <v>#NUM!</v>
      </c>
      <c r="L107" s="67" t="e">
        <f t="shared" si="9"/>
        <v>#NUM!</v>
      </c>
      <c r="M107" s="85" t="e">
        <f t="shared" si="8"/>
        <v>#NUM!</v>
      </c>
      <c r="N107" s="39">
        <v>106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</row>
    <row r="108" spans="2:39" ht="17.25" thickTop="1" thickBot="1">
      <c r="B108">
        <f>wyniki!B131</f>
        <v>0</v>
      </c>
      <c r="C108" s="19">
        <f>wyniki!C131</f>
        <v>0</v>
      </c>
      <c r="D108" s="18">
        <v>-1.07E-3</v>
      </c>
      <c r="E108" s="19" t="b">
        <f t="shared" si="5"/>
        <v>0</v>
      </c>
      <c r="F108">
        <f>wyniki!$A$126</f>
        <v>0</v>
      </c>
      <c r="G108" s="19">
        <f t="shared" si="6"/>
        <v>0</v>
      </c>
      <c r="J108" s="93" t="e">
        <f t="shared" si="7"/>
        <v>#NUM!</v>
      </c>
      <c r="K108" s="80" t="e">
        <f>-LARGE($E$2:$E$241,107)</f>
        <v>#NUM!</v>
      </c>
      <c r="L108" s="67" t="e">
        <f t="shared" si="9"/>
        <v>#NUM!</v>
      </c>
      <c r="M108" s="85" t="e">
        <f t="shared" si="8"/>
        <v>#NUM!</v>
      </c>
      <c r="N108" s="39">
        <v>107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2:39" ht="17.25" thickTop="1" thickBot="1">
      <c r="B109">
        <f>wyniki!B132</f>
        <v>0</v>
      </c>
      <c r="C109" s="19">
        <f>wyniki!C132</f>
        <v>0</v>
      </c>
      <c r="D109" s="18">
        <v>-1.08E-3</v>
      </c>
      <c r="E109" s="19" t="b">
        <f t="shared" si="5"/>
        <v>0</v>
      </c>
      <c r="F109">
        <f>wyniki!$A$126</f>
        <v>0</v>
      </c>
      <c r="G109" s="19">
        <f t="shared" si="6"/>
        <v>0</v>
      </c>
      <c r="J109" s="93" t="e">
        <f t="shared" si="7"/>
        <v>#NUM!</v>
      </c>
      <c r="K109" s="80" t="e">
        <f>-LARGE($E$2:$E$241,108)</f>
        <v>#NUM!</v>
      </c>
      <c r="L109" s="67" t="e">
        <f t="shared" si="9"/>
        <v>#NUM!</v>
      </c>
      <c r="M109" s="85" t="e">
        <f t="shared" si="8"/>
        <v>#NUM!</v>
      </c>
      <c r="N109" s="39">
        <v>108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</row>
    <row r="110" spans="2:39" ht="17.25" thickTop="1" thickBot="1">
      <c r="B110">
        <f>wyniki!B134</f>
        <v>0</v>
      </c>
      <c r="C110" s="19">
        <f>wyniki!C134</f>
        <v>0</v>
      </c>
      <c r="D110" s="18">
        <v>-1.09E-3</v>
      </c>
      <c r="E110" s="19" t="b">
        <f t="shared" si="5"/>
        <v>0</v>
      </c>
      <c r="F110">
        <f>wyniki!$A$133</f>
        <v>0</v>
      </c>
      <c r="G110" s="19">
        <f t="shared" si="6"/>
        <v>0</v>
      </c>
      <c r="J110" s="93" t="e">
        <f t="shared" si="7"/>
        <v>#NUM!</v>
      </c>
      <c r="K110" s="80" t="e">
        <f>-LARGE($E$2:$E$241,109)</f>
        <v>#NUM!</v>
      </c>
      <c r="L110" s="67" t="e">
        <f t="shared" si="9"/>
        <v>#NUM!</v>
      </c>
      <c r="M110" s="85" t="e">
        <f t="shared" si="8"/>
        <v>#NUM!</v>
      </c>
      <c r="N110" s="39">
        <v>109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</row>
    <row r="111" spans="2:39" ht="17.25" thickTop="1" thickBot="1">
      <c r="B111">
        <f>wyniki!B135</f>
        <v>0</v>
      </c>
      <c r="C111" s="19">
        <f>wyniki!C135</f>
        <v>0</v>
      </c>
      <c r="D111" s="18">
        <v>-1.1000000000000001E-3</v>
      </c>
      <c r="E111" s="19" t="b">
        <f t="shared" si="5"/>
        <v>0</v>
      </c>
      <c r="F111">
        <f>wyniki!$A$133</f>
        <v>0</v>
      </c>
      <c r="G111" s="19">
        <f t="shared" si="6"/>
        <v>0</v>
      </c>
      <c r="J111" s="93" t="e">
        <f t="shared" si="7"/>
        <v>#NUM!</v>
      </c>
      <c r="K111" s="80" t="e">
        <f>-LARGE($E$2:$E$241,110)</f>
        <v>#NUM!</v>
      </c>
      <c r="L111" s="67" t="e">
        <f t="shared" si="9"/>
        <v>#NUM!</v>
      </c>
      <c r="M111" s="85" t="e">
        <f t="shared" si="8"/>
        <v>#NUM!</v>
      </c>
      <c r="N111" s="39">
        <v>110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2:39" ht="17.25" thickTop="1" thickBot="1">
      <c r="B112">
        <f>wyniki!B136</f>
        <v>0</v>
      </c>
      <c r="C112" s="19">
        <f>wyniki!C136</f>
        <v>0</v>
      </c>
      <c r="D112" s="18">
        <v>-1.1100000000000001E-3</v>
      </c>
      <c r="E112" s="19" t="b">
        <f t="shared" si="5"/>
        <v>0</v>
      </c>
      <c r="F112">
        <f>wyniki!$A$133</f>
        <v>0</v>
      </c>
      <c r="G112" s="19">
        <f t="shared" si="6"/>
        <v>0</v>
      </c>
      <c r="J112" s="93" t="e">
        <f t="shared" si="7"/>
        <v>#NUM!</v>
      </c>
      <c r="K112" s="80" t="e">
        <f>-LARGE($E$2:$E$241,111)</f>
        <v>#NUM!</v>
      </c>
      <c r="L112" s="67" t="e">
        <f t="shared" si="9"/>
        <v>#NUM!</v>
      </c>
      <c r="M112" s="85" t="e">
        <f t="shared" si="8"/>
        <v>#NUM!</v>
      </c>
      <c r="N112" s="39">
        <v>111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</row>
    <row r="113" spans="2:39" ht="17.25" thickTop="1" thickBot="1">
      <c r="B113">
        <f>wyniki!B137</f>
        <v>0</v>
      </c>
      <c r="C113" s="19">
        <f>wyniki!C137</f>
        <v>0</v>
      </c>
      <c r="D113" s="18">
        <v>-1.1199999999999999E-3</v>
      </c>
      <c r="E113" s="19" t="b">
        <f t="shared" si="5"/>
        <v>0</v>
      </c>
      <c r="F113">
        <f>wyniki!$A$133</f>
        <v>0</v>
      </c>
      <c r="G113" s="19">
        <f t="shared" si="6"/>
        <v>0</v>
      </c>
      <c r="J113" s="93" t="e">
        <f t="shared" si="7"/>
        <v>#NUM!</v>
      </c>
      <c r="K113" s="80" t="e">
        <f>-LARGE($E$2:$E$241,112)</f>
        <v>#NUM!</v>
      </c>
      <c r="L113" s="67" t="e">
        <f t="shared" si="9"/>
        <v>#NUM!</v>
      </c>
      <c r="M113" s="85" t="e">
        <f t="shared" si="8"/>
        <v>#NUM!</v>
      </c>
      <c r="N113" s="39">
        <v>112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2:39" ht="17.25" thickTop="1" thickBot="1">
      <c r="B114">
        <f>wyniki!B138</f>
        <v>0</v>
      </c>
      <c r="C114" s="19">
        <f>wyniki!C138</f>
        <v>0</v>
      </c>
      <c r="D114" s="18">
        <v>-1.1299999999999999E-3</v>
      </c>
      <c r="E114" s="19" t="b">
        <f t="shared" si="5"/>
        <v>0</v>
      </c>
      <c r="F114">
        <f>wyniki!$A$133</f>
        <v>0</v>
      </c>
      <c r="G114" s="19">
        <f t="shared" si="6"/>
        <v>0</v>
      </c>
      <c r="J114" s="93" t="e">
        <f t="shared" si="7"/>
        <v>#NUM!</v>
      </c>
      <c r="K114" s="80" t="e">
        <f>-LARGE($E$2:$E$241,113)</f>
        <v>#NUM!</v>
      </c>
      <c r="L114" s="67" t="e">
        <f t="shared" si="9"/>
        <v>#NUM!</v>
      </c>
      <c r="M114" s="85" t="e">
        <f t="shared" si="8"/>
        <v>#NUM!</v>
      </c>
      <c r="N114" s="39">
        <v>113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2:39" ht="17.25" thickTop="1" thickBot="1">
      <c r="B115">
        <f>wyniki!B139</f>
        <v>0</v>
      </c>
      <c r="C115" s="19">
        <f>wyniki!C139</f>
        <v>0</v>
      </c>
      <c r="D115" s="18">
        <v>-1.14E-3</v>
      </c>
      <c r="E115" s="19" t="b">
        <f t="shared" si="5"/>
        <v>0</v>
      </c>
      <c r="F115">
        <f>wyniki!$A$133</f>
        <v>0</v>
      </c>
      <c r="G115" s="19">
        <f t="shared" si="6"/>
        <v>0</v>
      </c>
      <c r="J115" s="93" t="e">
        <f t="shared" si="7"/>
        <v>#NUM!</v>
      </c>
      <c r="K115" s="80" t="e">
        <f>-LARGE($E$2:$E$241,114)</f>
        <v>#NUM!</v>
      </c>
      <c r="L115" s="67" t="e">
        <f t="shared" si="9"/>
        <v>#NUM!</v>
      </c>
      <c r="M115" s="85" t="e">
        <f t="shared" si="8"/>
        <v>#NUM!</v>
      </c>
      <c r="N115" s="39">
        <v>114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2:39" ht="17.25" thickTop="1" thickBot="1">
      <c r="B116">
        <f>wyniki!B141</f>
        <v>0</v>
      </c>
      <c r="C116" s="19">
        <f>wyniki!C141</f>
        <v>0</v>
      </c>
      <c r="D116" s="18">
        <v>-1.15E-3</v>
      </c>
      <c r="E116" s="19" t="b">
        <f t="shared" si="5"/>
        <v>0</v>
      </c>
      <c r="F116">
        <f>wyniki!$A$140</f>
        <v>0</v>
      </c>
      <c r="G116" s="19">
        <f t="shared" si="6"/>
        <v>0</v>
      </c>
      <c r="J116" s="93" t="e">
        <f t="shared" si="7"/>
        <v>#NUM!</v>
      </c>
      <c r="K116" s="80" t="e">
        <f>-LARGE($E$2:$E$241,115)</f>
        <v>#NUM!</v>
      </c>
      <c r="L116" s="67" t="e">
        <f t="shared" si="9"/>
        <v>#NUM!</v>
      </c>
      <c r="M116" s="85" t="e">
        <f t="shared" si="8"/>
        <v>#NUM!</v>
      </c>
      <c r="N116" s="39">
        <v>115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2:39" ht="17.25" thickTop="1" thickBot="1">
      <c r="B117">
        <f>wyniki!B142</f>
        <v>0</v>
      </c>
      <c r="C117" s="19">
        <f>wyniki!C142</f>
        <v>0</v>
      </c>
      <c r="D117" s="18">
        <v>-1.16E-3</v>
      </c>
      <c r="E117" s="19" t="b">
        <f t="shared" si="5"/>
        <v>0</v>
      </c>
      <c r="F117">
        <f>wyniki!$A$140</f>
        <v>0</v>
      </c>
      <c r="G117" s="19">
        <f t="shared" si="6"/>
        <v>0</v>
      </c>
      <c r="J117" s="93" t="e">
        <f t="shared" si="7"/>
        <v>#NUM!</v>
      </c>
      <c r="K117" s="80" t="e">
        <f>-LARGE($E$2:$E$241,116)</f>
        <v>#NUM!</v>
      </c>
      <c r="L117" s="67" t="e">
        <f t="shared" si="9"/>
        <v>#NUM!</v>
      </c>
      <c r="M117" s="85" t="e">
        <f t="shared" si="8"/>
        <v>#NUM!</v>
      </c>
      <c r="N117" s="39">
        <v>116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2:39" ht="17.25" thickTop="1" thickBot="1">
      <c r="B118">
        <f>wyniki!B143</f>
        <v>0</v>
      </c>
      <c r="C118" s="19">
        <f>wyniki!C143</f>
        <v>0</v>
      </c>
      <c r="D118" s="18">
        <v>-1.17E-3</v>
      </c>
      <c r="E118" s="19" t="b">
        <f t="shared" si="5"/>
        <v>0</v>
      </c>
      <c r="F118">
        <f>wyniki!$A$140</f>
        <v>0</v>
      </c>
      <c r="G118" s="19">
        <f t="shared" si="6"/>
        <v>0</v>
      </c>
      <c r="J118" s="93" t="e">
        <f t="shared" si="7"/>
        <v>#NUM!</v>
      </c>
      <c r="K118" s="80" t="e">
        <f>-LARGE($E$2:$E$241,117)</f>
        <v>#NUM!</v>
      </c>
      <c r="L118" s="67" t="e">
        <f t="shared" si="9"/>
        <v>#NUM!</v>
      </c>
      <c r="M118" s="85" t="e">
        <f t="shared" si="8"/>
        <v>#NUM!</v>
      </c>
      <c r="N118" s="39">
        <v>117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2:39" ht="17.25" thickTop="1" thickBot="1">
      <c r="B119">
        <f>wyniki!B144</f>
        <v>0</v>
      </c>
      <c r="C119" s="19">
        <f>wyniki!C144</f>
        <v>0</v>
      </c>
      <c r="D119" s="18">
        <v>-1.1800000000000001E-3</v>
      </c>
      <c r="E119" s="19" t="b">
        <f t="shared" si="5"/>
        <v>0</v>
      </c>
      <c r="F119">
        <f>wyniki!$A$140</f>
        <v>0</v>
      </c>
      <c r="G119" s="19">
        <f t="shared" si="6"/>
        <v>0</v>
      </c>
      <c r="J119" s="93" t="e">
        <f t="shared" si="7"/>
        <v>#NUM!</v>
      </c>
      <c r="K119" s="80" t="e">
        <f>-LARGE($E$2:$E$241,118)</f>
        <v>#NUM!</v>
      </c>
      <c r="L119" s="67" t="e">
        <f t="shared" si="9"/>
        <v>#NUM!</v>
      </c>
      <c r="M119" s="85" t="e">
        <f t="shared" si="8"/>
        <v>#NUM!</v>
      </c>
      <c r="N119" s="39">
        <v>118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2:39" ht="17.25" thickTop="1" thickBot="1">
      <c r="B120">
        <f>wyniki!B145</f>
        <v>0</v>
      </c>
      <c r="C120" s="19">
        <f>wyniki!C145</f>
        <v>0</v>
      </c>
      <c r="D120" s="18">
        <v>-1.1900000000000001E-3</v>
      </c>
      <c r="E120" s="19" t="b">
        <f t="shared" si="5"/>
        <v>0</v>
      </c>
      <c r="F120">
        <f>wyniki!$A$140</f>
        <v>0</v>
      </c>
      <c r="G120" s="19">
        <f t="shared" si="6"/>
        <v>0</v>
      </c>
      <c r="J120" s="93" t="e">
        <f t="shared" si="7"/>
        <v>#NUM!</v>
      </c>
      <c r="K120" s="80" t="e">
        <f>-LARGE($E$2:$E$241,119)</f>
        <v>#NUM!</v>
      </c>
      <c r="L120" s="67" t="e">
        <f t="shared" si="9"/>
        <v>#NUM!</v>
      </c>
      <c r="M120" s="85" t="e">
        <f t="shared" si="8"/>
        <v>#NUM!</v>
      </c>
      <c r="N120" s="39">
        <v>119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2:39" ht="17.25" thickTop="1" thickBot="1">
      <c r="B121">
        <f>wyniki!B146</f>
        <v>0</v>
      </c>
      <c r="C121" s="19">
        <f>wyniki!C146</f>
        <v>0</v>
      </c>
      <c r="D121" s="18">
        <v>-1.1999999999999999E-3</v>
      </c>
      <c r="E121" s="19" t="b">
        <f t="shared" si="5"/>
        <v>0</v>
      </c>
      <c r="F121">
        <f>wyniki!$A$140</f>
        <v>0</v>
      </c>
      <c r="G121" s="19">
        <f t="shared" si="6"/>
        <v>0</v>
      </c>
      <c r="J121" s="93" t="e">
        <f t="shared" si="7"/>
        <v>#NUM!</v>
      </c>
      <c r="K121" s="80" t="e">
        <f>-LARGE($E$2:$E$241,120)</f>
        <v>#NUM!</v>
      </c>
      <c r="L121" s="67" t="e">
        <f t="shared" si="9"/>
        <v>#NUM!</v>
      </c>
      <c r="M121" s="85" t="e">
        <f t="shared" si="8"/>
        <v>#NUM!</v>
      </c>
      <c r="N121" s="39">
        <v>120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2:39" ht="17.25" thickTop="1" thickBot="1">
      <c r="B122">
        <f>wyniki!B148</f>
        <v>0</v>
      </c>
      <c r="C122" s="19">
        <f>wyniki!C148</f>
        <v>0</v>
      </c>
      <c r="D122" s="18">
        <v>-1.2099999999999999E-3</v>
      </c>
      <c r="E122" s="19" t="b">
        <f t="shared" si="5"/>
        <v>0</v>
      </c>
      <c r="F122">
        <f>wyniki!$A$147</f>
        <v>0</v>
      </c>
      <c r="G122" s="19">
        <f t="shared" si="6"/>
        <v>0</v>
      </c>
      <c r="J122" s="93" t="e">
        <f t="shared" si="7"/>
        <v>#NUM!</v>
      </c>
      <c r="K122" s="80" t="e">
        <f>-LARGE($E$2:$E$241,121)</f>
        <v>#NUM!</v>
      </c>
      <c r="L122" s="67" t="e">
        <f t="shared" si="9"/>
        <v>#NUM!</v>
      </c>
      <c r="M122" s="85" t="e">
        <f t="shared" si="8"/>
        <v>#NUM!</v>
      </c>
      <c r="N122" s="39">
        <v>121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2:39" ht="17.25" thickTop="1" thickBot="1">
      <c r="B123">
        <f>wyniki!B149</f>
        <v>0</v>
      </c>
      <c r="C123" s="19">
        <f>wyniki!C149</f>
        <v>0</v>
      </c>
      <c r="D123" s="18">
        <v>-1.2199999999999999E-3</v>
      </c>
      <c r="E123" s="19" t="b">
        <f t="shared" si="5"/>
        <v>0</v>
      </c>
      <c r="F123">
        <f>wyniki!$A$147</f>
        <v>0</v>
      </c>
      <c r="G123" s="19">
        <f t="shared" si="6"/>
        <v>0</v>
      </c>
      <c r="J123" s="93" t="e">
        <f t="shared" si="7"/>
        <v>#NUM!</v>
      </c>
      <c r="K123" s="80" t="e">
        <f>-LARGE($E$2:$E$241,122)</f>
        <v>#NUM!</v>
      </c>
      <c r="L123" s="67" t="e">
        <f t="shared" si="9"/>
        <v>#NUM!</v>
      </c>
      <c r="M123" s="85" t="e">
        <f t="shared" si="8"/>
        <v>#NUM!</v>
      </c>
      <c r="N123" s="39">
        <v>122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2:39" ht="17.25" thickTop="1" thickBot="1">
      <c r="B124">
        <f>wyniki!B150</f>
        <v>0</v>
      </c>
      <c r="C124" s="19">
        <f>wyniki!C150</f>
        <v>0</v>
      </c>
      <c r="D124" s="18">
        <v>-1.23E-3</v>
      </c>
      <c r="E124" s="19" t="b">
        <f t="shared" si="5"/>
        <v>0</v>
      </c>
      <c r="F124">
        <f>wyniki!$A$147</f>
        <v>0</v>
      </c>
      <c r="G124" s="19">
        <f t="shared" si="6"/>
        <v>0</v>
      </c>
      <c r="J124" s="93" t="e">
        <f t="shared" si="7"/>
        <v>#NUM!</v>
      </c>
      <c r="K124" s="80" t="e">
        <f>-LARGE($E$2:$E$241,123)</f>
        <v>#NUM!</v>
      </c>
      <c r="L124" s="67" t="e">
        <f t="shared" si="9"/>
        <v>#NUM!</v>
      </c>
      <c r="M124" s="85" t="e">
        <f t="shared" si="8"/>
        <v>#NUM!</v>
      </c>
      <c r="N124" s="39">
        <v>123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2:39" ht="17.25" thickTop="1" thickBot="1">
      <c r="B125">
        <f>wyniki!B151</f>
        <v>0</v>
      </c>
      <c r="C125" s="19">
        <f>wyniki!C151</f>
        <v>0</v>
      </c>
      <c r="D125" s="18">
        <v>-1.24E-3</v>
      </c>
      <c r="E125" s="19" t="b">
        <f t="shared" si="5"/>
        <v>0</v>
      </c>
      <c r="F125">
        <f>wyniki!$A$147</f>
        <v>0</v>
      </c>
      <c r="G125" s="19">
        <f t="shared" si="6"/>
        <v>0</v>
      </c>
      <c r="J125" s="93" t="e">
        <f t="shared" si="7"/>
        <v>#NUM!</v>
      </c>
      <c r="K125" s="80" t="e">
        <f>-LARGE($E$2:$E$241,124)</f>
        <v>#NUM!</v>
      </c>
      <c r="L125" s="67" t="e">
        <f t="shared" si="9"/>
        <v>#NUM!</v>
      </c>
      <c r="M125" s="85" t="e">
        <f t="shared" si="8"/>
        <v>#NUM!</v>
      </c>
      <c r="N125" s="39">
        <v>124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</row>
    <row r="126" spans="2:39" ht="17.25" thickTop="1" thickBot="1">
      <c r="B126">
        <f>wyniki!B152</f>
        <v>0</v>
      </c>
      <c r="C126" s="19">
        <f>wyniki!C152</f>
        <v>0</v>
      </c>
      <c r="D126" s="18">
        <v>-1.25E-3</v>
      </c>
      <c r="E126" s="19" t="b">
        <f t="shared" si="5"/>
        <v>0</v>
      </c>
      <c r="F126">
        <f>wyniki!$A$147</f>
        <v>0</v>
      </c>
      <c r="G126" s="19">
        <f t="shared" si="6"/>
        <v>0</v>
      </c>
      <c r="J126" s="93" t="e">
        <f t="shared" si="7"/>
        <v>#NUM!</v>
      </c>
      <c r="K126" s="80" t="e">
        <f>-LARGE($E$2:$E$241,125)</f>
        <v>#NUM!</v>
      </c>
      <c r="L126" s="67" t="e">
        <f t="shared" si="9"/>
        <v>#NUM!</v>
      </c>
      <c r="M126" s="85" t="e">
        <f t="shared" si="8"/>
        <v>#NUM!</v>
      </c>
      <c r="N126" s="39">
        <v>125</v>
      </c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</row>
    <row r="127" spans="2:39" ht="17.25" thickTop="1" thickBot="1">
      <c r="B127">
        <f>wyniki!B153</f>
        <v>0</v>
      </c>
      <c r="C127" s="19">
        <f>wyniki!C153</f>
        <v>0</v>
      </c>
      <c r="D127" s="18">
        <v>-1.2600000000000001E-3</v>
      </c>
      <c r="E127" s="19" t="b">
        <f t="shared" si="5"/>
        <v>0</v>
      </c>
      <c r="F127">
        <f>wyniki!$A$147</f>
        <v>0</v>
      </c>
      <c r="G127" s="19">
        <f t="shared" si="6"/>
        <v>0</v>
      </c>
      <c r="J127" s="93" t="e">
        <f t="shared" si="7"/>
        <v>#NUM!</v>
      </c>
      <c r="K127" s="80" t="e">
        <f>-LARGE($E$2:$E$241,126)</f>
        <v>#NUM!</v>
      </c>
      <c r="L127" s="67" t="e">
        <f t="shared" si="9"/>
        <v>#NUM!</v>
      </c>
      <c r="M127" s="85" t="e">
        <f t="shared" si="8"/>
        <v>#NUM!</v>
      </c>
      <c r="N127" s="39">
        <v>126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</row>
    <row r="128" spans="2:39" ht="17.25" thickTop="1" thickBot="1">
      <c r="B128">
        <f>wyniki!B155</f>
        <v>0</v>
      </c>
      <c r="C128" s="19">
        <f>wyniki!C155</f>
        <v>0</v>
      </c>
      <c r="D128" s="18">
        <v>-1.2700000000000001E-3</v>
      </c>
      <c r="E128" s="19" t="b">
        <f t="shared" si="5"/>
        <v>0</v>
      </c>
      <c r="F128">
        <f>wyniki!$A$154</f>
        <v>0</v>
      </c>
      <c r="G128" s="19">
        <f t="shared" si="6"/>
        <v>0</v>
      </c>
      <c r="J128" s="93" t="e">
        <f t="shared" si="7"/>
        <v>#NUM!</v>
      </c>
      <c r="K128" s="80" t="e">
        <f>-LARGE($E$2:$E$241,127)</f>
        <v>#NUM!</v>
      </c>
      <c r="L128" s="67" t="e">
        <f t="shared" si="9"/>
        <v>#NUM!</v>
      </c>
      <c r="M128" s="85" t="e">
        <f t="shared" si="8"/>
        <v>#NUM!</v>
      </c>
      <c r="N128" s="39">
        <v>127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</row>
    <row r="129" spans="2:39" ht="17.25" thickTop="1" thickBot="1">
      <c r="B129">
        <f>wyniki!B156</f>
        <v>0</v>
      </c>
      <c r="C129" s="19">
        <f>wyniki!C156</f>
        <v>0</v>
      </c>
      <c r="D129" s="18">
        <v>-1.2800000000000001E-3</v>
      </c>
      <c r="E129" s="19" t="b">
        <f t="shared" si="5"/>
        <v>0</v>
      </c>
      <c r="F129">
        <f>wyniki!$A$154</f>
        <v>0</v>
      </c>
      <c r="G129" s="19">
        <f t="shared" si="6"/>
        <v>0</v>
      </c>
      <c r="J129" s="93" t="e">
        <f t="shared" si="7"/>
        <v>#NUM!</v>
      </c>
      <c r="K129" s="80" t="e">
        <f>-LARGE($E$2:$E$241,128)</f>
        <v>#NUM!</v>
      </c>
      <c r="L129" s="67" t="e">
        <f t="shared" si="9"/>
        <v>#NUM!</v>
      </c>
      <c r="M129" s="85" t="e">
        <f t="shared" si="8"/>
        <v>#NUM!</v>
      </c>
      <c r="N129" s="39">
        <v>128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</row>
    <row r="130" spans="2:39" ht="17.25" thickTop="1" thickBot="1">
      <c r="B130">
        <f>wyniki!B157</f>
        <v>0</v>
      </c>
      <c r="C130" s="19">
        <f>wyniki!C157</f>
        <v>0</v>
      </c>
      <c r="D130" s="18">
        <v>-1.2899999999999999E-3</v>
      </c>
      <c r="E130" s="19" t="b">
        <f t="shared" si="5"/>
        <v>0</v>
      </c>
      <c r="F130">
        <f>wyniki!$A$154</f>
        <v>0</v>
      </c>
      <c r="G130" s="19">
        <f t="shared" si="6"/>
        <v>0</v>
      </c>
      <c r="J130" s="93" t="e">
        <f t="shared" si="7"/>
        <v>#NUM!</v>
      </c>
      <c r="K130" s="80" t="e">
        <f>-LARGE($E$2:$E$241,129)</f>
        <v>#NUM!</v>
      </c>
      <c r="L130" s="67" t="e">
        <f t="shared" si="9"/>
        <v>#NUM!</v>
      </c>
      <c r="M130" s="85" t="e">
        <f t="shared" si="8"/>
        <v>#NUM!</v>
      </c>
      <c r="N130" s="39">
        <v>129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</row>
    <row r="131" spans="2:39" ht="17.25" thickTop="1" thickBot="1">
      <c r="B131">
        <f>wyniki!B158</f>
        <v>0</v>
      </c>
      <c r="C131" s="19">
        <f>wyniki!C158</f>
        <v>0</v>
      </c>
      <c r="D131" s="18">
        <v>-1.2999999999999999E-3</v>
      </c>
      <c r="E131" s="19" t="b">
        <f t="shared" ref="E131:E194" si="10">IF(C131&gt;1,G131+D131)</f>
        <v>0</v>
      </c>
      <c r="F131">
        <f>wyniki!$A$154</f>
        <v>0</v>
      </c>
      <c r="G131" s="19">
        <f t="shared" ref="G131:G194" si="11">-C131</f>
        <v>0</v>
      </c>
      <c r="J131" s="93" t="e">
        <f t="shared" ref="J131:J194" si="12">INDEX($B$2:$E$241,L131,1)</f>
        <v>#NUM!</v>
      </c>
      <c r="K131" s="80" t="e">
        <f>-LARGE($E$2:$E$241,130)</f>
        <v>#NUM!</v>
      </c>
      <c r="L131" s="67" t="e">
        <f t="shared" si="9"/>
        <v>#NUM!</v>
      </c>
      <c r="M131" s="85" t="e">
        <f t="shared" ref="M131:M194" si="13">INDEX($E$2:$F$241,L131,2)</f>
        <v>#NUM!</v>
      </c>
      <c r="N131" s="39">
        <v>130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</row>
    <row r="132" spans="2:39" ht="17.25" thickTop="1" thickBot="1">
      <c r="B132">
        <f>wyniki!B159</f>
        <v>0</v>
      </c>
      <c r="C132" s="19">
        <f>wyniki!C159</f>
        <v>0</v>
      </c>
      <c r="D132" s="18">
        <v>-1.31E-3</v>
      </c>
      <c r="E132" s="19" t="b">
        <f t="shared" si="10"/>
        <v>0</v>
      </c>
      <c r="F132">
        <f>wyniki!$A$154</f>
        <v>0</v>
      </c>
      <c r="G132" s="19">
        <f t="shared" si="11"/>
        <v>0</v>
      </c>
      <c r="J132" s="93" t="e">
        <f t="shared" si="12"/>
        <v>#NUM!</v>
      </c>
      <c r="K132" s="80" t="e">
        <f>-LARGE($E$2:$E$241,131)</f>
        <v>#NUM!</v>
      </c>
      <c r="L132" s="67" t="e">
        <f t="shared" ref="L132:L195" si="14">MATCH(-K132,$E$2:$E$241,0)</f>
        <v>#NUM!</v>
      </c>
      <c r="M132" s="85" t="e">
        <f t="shared" si="13"/>
        <v>#NUM!</v>
      </c>
      <c r="N132" s="39">
        <v>131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2:39" ht="17.25" thickTop="1" thickBot="1">
      <c r="B133">
        <f>wyniki!B160</f>
        <v>0</v>
      </c>
      <c r="C133" s="19">
        <f>wyniki!C160</f>
        <v>0</v>
      </c>
      <c r="D133" s="18">
        <v>-1.32E-3</v>
      </c>
      <c r="E133" s="19" t="b">
        <f t="shared" si="10"/>
        <v>0</v>
      </c>
      <c r="F133">
        <f>wyniki!$A$154</f>
        <v>0</v>
      </c>
      <c r="G133" s="19">
        <f t="shared" si="11"/>
        <v>0</v>
      </c>
      <c r="J133" s="93" t="e">
        <f t="shared" si="12"/>
        <v>#NUM!</v>
      </c>
      <c r="K133" s="80" t="e">
        <f>-LARGE($E$2:$E$241,132)</f>
        <v>#NUM!</v>
      </c>
      <c r="L133" s="67" t="e">
        <f t="shared" si="14"/>
        <v>#NUM!</v>
      </c>
      <c r="M133" s="85" t="e">
        <f t="shared" si="13"/>
        <v>#NUM!</v>
      </c>
      <c r="N133" s="39">
        <v>132</v>
      </c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2:39" ht="17.25" thickTop="1" thickBot="1">
      <c r="B134">
        <f>wyniki!B162</f>
        <v>0</v>
      </c>
      <c r="C134" s="19">
        <f>wyniki!C162</f>
        <v>0</v>
      </c>
      <c r="D134" s="18">
        <v>-1.33E-3</v>
      </c>
      <c r="E134" s="19" t="b">
        <f t="shared" si="10"/>
        <v>0</v>
      </c>
      <c r="F134">
        <f>wyniki!$A$161</f>
        <v>0</v>
      </c>
      <c r="G134" s="19">
        <f t="shared" si="11"/>
        <v>0</v>
      </c>
      <c r="J134" s="93" t="e">
        <f t="shared" si="12"/>
        <v>#NUM!</v>
      </c>
      <c r="K134" s="80" t="e">
        <f>-LARGE($E$2:$E$241,133)</f>
        <v>#NUM!</v>
      </c>
      <c r="L134" s="67" t="e">
        <f t="shared" si="14"/>
        <v>#NUM!</v>
      </c>
      <c r="M134" s="85" t="e">
        <f t="shared" si="13"/>
        <v>#NUM!</v>
      </c>
      <c r="N134" s="39">
        <v>133</v>
      </c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2:39" ht="17.25" thickTop="1" thickBot="1">
      <c r="B135">
        <f>wyniki!B163</f>
        <v>0</v>
      </c>
      <c r="C135" s="19">
        <f>wyniki!C163</f>
        <v>0</v>
      </c>
      <c r="D135" s="18">
        <v>-1.34E-3</v>
      </c>
      <c r="E135" s="19" t="b">
        <f t="shared" si="10"/>
        <v>0</v>
      </c>
      <c r="F135">
        <f>wyniki!$A$161</f>
        <v>0</v>
      </c>
      <c r="G135" s="19">
        <f t="shared" si="11"/>
        <v>0</v>
      </c>
      <c r="J135" s="93" t="e">
        <f t="shared" si="12"/>
        <v>#NUM!</v>
      </c>
      <c r="K135" s="80" t="e">
        <f>-LARGE($E$2:$E$241,134)</f>
        <v>#NUM!</v>
      </c>
      <c r="L135" s="67" t="e">
        <f t="shared" si="14"/>
        <v>#NUM!</v>
      </c>
      <c r="M135" s="85" t="e">
        <f t="shared" si="13"/>
        <v>#NUM!</v>
      </c>
      <c r="N135" s="39">
        <v>134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2:39" ht="17.25" thickTop="1" thickBot="1">
      <c r="B136">
        <f>wyniki!B164</f>
        <v>0</v>
      </c>
      <c r="C136" s="19">
        <f>wyniki!C164</f>
        <v>0</v>
      </c>
      <c r="D136" s="18">
        <v>-1.3500000000000001E-3</v>
      </c>
      <c r="E136" s="19" t="b">
        <f t="shared" si="10"/>
        <v>0</v>
      </c>
      <c r="F136">
        <f>wyniki!$A$161</f>
        <v>0</v>
      </c>
      <c r="G136" s="19">
        <f t="shared" si="11"/>
        <v>0</v>
      </c>
      <c r="J136" s="93" t="e">
        <f t="shared" si="12"/>
        <v>#NUM!</v>
      </c>
      <c r="K136" s="80" t="e">
        <f>-LARGE($E$2:$E$241,135)</f>
        <v>#NUM!</v>
      </c>
      <c r="L136" s="67" t="e">
        <f t="shared" si="14"/>
        <v>#NUM!</v>
      </c>
      <c r="M136" s="85" t="e">
        <f t="shared" si="13"/>
        <v>#NUM!</v>
      </c>
      <c r="N136" s="39">
        <v>135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2:39" ht="17.25" thickTop="1" thickBot="1">
      <c r="B137">
        <f>wyniki!B165</f>
        <v>0</v>
      </c>
      <c r="C137" s="19">
        <f>wyniki!C165</f>
        <v>0</v>
      </c>
      <c r="D137" s="18">
        <v>-1.3600000000000001E-3</v>
      </c>
      <c r="E137" s="19" t="b">
        <f t="shared" si="10"/>
        <v>0</v>
      </c>
      <c r="F137">
        <f>wyniki!$A$161</f>
        <v>0</v>
      </c>
      <c r="G137" s="19">
        <f t="shared" si="11"/>
        <v>0</v>
      </c>
      <c r="J137" s="93" t="e">
        <f t="shared" si="12"/>
        <v>#NUM!</v>
      </c>
      <c r="K137" s="80" t="e">
        <f>-LARGE($E$2:$E$241,136)</f>
        <v>#NUM!</v>
      </c>
      <c r="L137" s="67" t="e">
        <f t="shared" si="14"/>
        <v>#NUM!</v>
      </c>
      <c r="M137" s="85" t="e">
        <f t="shared" si="13"/>
        <v>#NUM!</v>
      </c>
      <c r="N137" s="39">
        <v>136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2:39" ht="17.25" thickTop="1" thickBot="1">
      <c r="B138">
        <f>wyniki!B166</f>
        <v>0</v>
      </c>
      <c r="C138" s="19">
        <f>wyniki!C166</f>
        <v>0</v>
      </c>
      <c r="D138" s="18">
        <v>-1.3699999999999999E-3</v>
      </c>
      <c r="E138" s="19" t="b">
        <f t="shared" si="10"/>
        <v>0</v>
      </c>
      <c r="F138">
        <f>wyniki!$A$161</f>
        <v>0</v>
      </c>
      <c r="G138" s="19">
        <f t="shared" si="11"/>
        <v>0</v>
      </c>
      <c r="J138" s="93" t="e">
        <f t="shared" si="12"/>
        <v>#NUM!</v>
      </c>
      <c r="K138" s="80" t="e">
        <f>-LARGE($E$2:$E$241,137)</f>
        <v>#NUM!</v>
      </c>
      <c r="L138" s="67" t="e">
        <f t="shared" si="14"/>
        <v>#NUM!</v>
      </c>
      <c r="M138" s="85" t="e">
        <f t="shared" si="13"/>
        <v>#NUM!</v>
      </c>
      <c r="N138" s="39">
        <v>137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2:39" ht="17.25" thickTop="1" thickBot="1">
      <c r="B139">
        <f>wyniki!B167</f>
        <v>0</v>
      </c>
      <c r="C139" s="19">
        <f>wyniki!C167</f>
        <v>0</v>
      </c>
      <c r="D139" s="18">
        <v>-1.3799999999999999E-3</v>
      </c>
      <c r="E139" s="19" t="b">
        <f t="shared" si="10"/>
        <v>0</v>
      </c>
      <c r="F139">
        <f>wyniki!$A$161</f>
        <v>0</v>
      </c>
      <c r="G139" s="19">
        <f t="shared" si="11"/>
        <v>0</v>
      </c>
      <c r="J139" s="93" t="e">
        <f t="shared" si="12"/>
        <v>#NUM!</v>
      </c>
      <c r="K139" s="80" t="e">
        <f>-LARGE($E$2:$E$241,138)</f>
        <v>#NUM!</v>
      </c>
      <c r="L139" s="67" t="e">
        <f t="shared" si="14"/>
        <v>#NUM!</v>
      </c>
      <c r="M139" s="85" t="e">
        <f t="shared" si="13"/>
        <v>#NUM!</v>
      </c>
      <c r="N139" s="39">
        <v>138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2:39" ht="17.25" thickTop="1" thickBot="1">
      <c r="B140">
        <f>wyniki!B169</f>
        <v>0</v>
      </c>
      <c r="C140" s="19">
        <f>wyniki!C169</f>
        <v>0</v>
      </c>
      <c r="D140" s="18">
        <v>-1.39E-3</v>
      </c>
      <c r="E140" s="19" t="b">
        <f t="shared" si="10"/>
        <v>0</v>
      </c>
      <c r="F140">
        <f>wyniki!$A$168</f>
        <v>0</v>
      </c>
      <c r="G140" s="19">
        <f t="shared" si="11"/>
        <v>0</v>
      </c>
      <c r="J140" s="93" t="e">
        <f t="shared" si="12"/>
        <v>#NUM!</v>
      </c>
      <c r="K140" s="80" t="e">
        <f>-LARGE($E$2:$E$241,139)</f>
        <v>#NUM!</v>
      </c>
      <c r="L140" s="67" t="e">
        <f t="shared" si="14"/>
        <v>#NUM!</v>
      </c>
      <c r="M140" s="85" t="e">
        <f t="shared" si="13"/>
        <v>#NUM!</v>
      </c>
      <c r="N140" s="39">
        <v>139</v>
      </c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2:39" ht="17.25" thickTop="1" thickBot="1">
      <c r="B141">
        <f>wyniki!B170</f>
        <v>0</v>
      </c>
      <c r="C141" s="19">
        <f>wyniki!C170</f>
        <v>0</v>
      </c>
      <c r="D141" s="18">
        <v>-1.4E-3</v>
      </c>
      <c r="E141" s="19" t="b">
        <f t="shared" si="10"/>
        <v>0</v>
      </c>
      <c r="F141">
        <f>wyniki!$A$168</f>
        <v>0</v>
      </c>
      <c r="G141" s="19">
        <f t="shared" si="11"/>
        <v>0</v>
      </c>
      <c r="J141" s="93" t="e">
        <f t="shared" si="12"/>
        <v>#NUM!</v>
      </c>
      <c r="K141" s="80" t="e">
        <f>-LARGE($E$2:$E$241,140)</f>
        <v>#NUM!</v>
      </c>
      <c r="L141" s="67" t="e">
        <f t="shared" si="14"/>
        <v>#NUM!</v>
      </c>
      <c r="M141" s="85" t="e">
        <f t="shared" si="13"/>
        <v>#NUM!</v>
      </c>
      <c r="N141" s="39">
        <v>140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2:39" ht="17.25" thickTop="1" thickBot="1">
      <c r="B142">
        <f>wyniki!B171</f>
        <v>0</v>
      </c>
      <c r="C142" s="19">
        <f>wyniki!C171</f>
        <v>0</v>
      </c>
      <c r="D142" s="18">
        <v>-1.41E-3</v>
      </c>
      <c r="E142" s="19" t="b">
        <f t="shared" si="10"/>
        <v>0</v>
      </c>
      <c r="F142">
        <f>wyniki!$A$168</f>
        <v>0</v>
      </c>
      <c r="G142" s="19">
        <f t="shared" si="11"/>
        <v>0</v>
      </c>
      <c r="J142" s="93" t="e">
        <f t="shared" si="12"/>
        <v>#NUM!</v>
      </c>
      <c r="K142" s="80" t="e">
        <f>-LARGE($E$2:$E$241,141)</f>
        <v>#NUM!</v>
      </c>
      <c r="L142" s="67" t="e">
        <f t="shared" si="14"/>
        <v>#NUM!</v>
      </c>
      <c r="M142" s="85" t="e">
        <f t="shared" si="13"/>
        <v>#NUM!</v>
      </c>
      <c r="N142" s="39">
        <v>141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2:39" ht="17.25" thickTop="1" thickBot="1">
      <c r="B143">
        <f>wyniki!B172</f>
        <v>0</v>
      </c>
      <c r="C143" s="19">
        <f>wyniki!C172</f>
        <v>0</v>
      </c>
      <c r="D143" s="18">
        <v>-1.42E-3</v>
      </c>
      <c r="E143" s="19" t="b">
        <f t="shared" si="10"/>
        <v>0</v>
      </c>
      <c r="F143">
        <f>wyniki!$A$168</f>
        <v>0</v>
      </c>
      <c r="G143" s="19">
        <f t="shared" si="11"/>
        <v>0</v>
      </c>
      <c r="J143" s="93" t="e">
        <f t="shared" si="12"/>
        <v>#NUM!</v>
      </c>
      <c r="K143" s="80" t="e">
        <f>-LARGE($E$2:$E$241,142)</f>
        <v>#NUM!</v>
      </c>
      <c r="L143" s="67" t="e">
        <f t="shared" si="14"/>
        <v>#NUM!</v>
      </c>
      <c r="M143" s="85" t="e">
        <f t="shared" si="13"/>
        <v>#NUM!</v>
      </c>
      <c r="N143" s="39">
        <v>142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2:39" ht="17.25" thickTop="1" thickBot="1">
      <c r="B144">
        <f>wyniki!B173</f>
        <v>0</v>
      </c>
      <c r="C144" s="19">
        <f>wyniki!C173</f>
        <v>0</v>
      </c>
      <c r="D144" s="18">
        <v>-1.4300000000000001E-3</v>
      </c>
      <c r="E144" s="19" t="b">
        <f t="shared" si="10"/>
        <v>0</v>
      </c>
      <c r="F144">
        <f>wyniki!$A$168</f>
        <v>0</v>
      </c>
      <c r="G144" s="19">
        <f t="shared" si="11"/>
        <v>0</v>
      </c>
      <c r="J144" s="93" t="e">
        <f t="shared" si="12"/>
        <v>#NUM!</v>
      </c>
      <c r="K144" s="80" t="e">
        <f>-LARGE($E$2:$E$241,143)</f>
        <v>#NUM!</v>
      </c>
      <c r="L144" s="67" t="e">
        <f t="shared" si="14"/>
        <v>#NUM!</v>
      </c>
      <c r="M144" s="85" t="e">
        <f t="shared" si="13"/>
        <v>#NUM!</v>
      </c>
      <c r="N144" s="39">
        <v>143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2:39" ht="17.25" thickTop="1" thickBot="1">
      <c r="B145">
        <f>wyniki!B174</f>
        <v>0</v>
      </c>
      <c r="C145" s="19">
        <f>wyniki!C174</f>
        <v>0</v>
      </c>
      <c r="D145" s="18">
        <v>-1.4400000000000001E-3</v>
      </c>
      <c r="E145" s="19" t="b">
        <f t="shared" si="10"/>
        <v>0</v>
      </c>
      <c r="F145">
        <f>wyniki!$A$168</f>
        <v>0</v>
      </c>
      <c r="G145" s="19">
        <f t="shared" si="11"/>
        <v>0</v>
      </c>
      <c r="J145" s="93" t="e">
        <f t="shared" si="12"/>
        <v>#NUM!</v>
      </c>
      <c r="K145" s="80" t="e">
        <f>-LARGE($E$2:$E$241,144)</f>
        <v>#NUM!</v>
      </c>
      <c r="L145" s="67" t="e">
        <f t="shared" si="14"/>
        <v>#NUM!</v>
      </c>
      <c r="M145" s="85" t="e">
        <f t="shared" si="13"/>
        <v>#NUM!</v>
      </c>
      <c r="N145" s="39">
        <v>144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2:39" ht="17.25" thickTop="1" thickBot="1">
      <c r="B146">
        <f>wyniki!B176</f>
        <v>0</v>
      </c>
      <c r="C146" s="19">
        <f>wyniki!C176</f>
        <v>0</v>
      </c>
      <c r="D146" s="18">
        <v>-1.4499999999999999E-3</v>
      </c>
      <c r="E146" s="19" t="b">
        <f t="shared" si="10"/>
        <v>0</v>
      </c>
      <c r="F146">
        <f>wyniki!$A$175</f>
        <v>0</v>
      </c>
      <c r="G146" s="19">
        <f t="shared" si="11"/>
        <v>0</v>
      </c>
      <c r="J146" s="93" t="e">
        <f t="shared" si="12"/>
        <v>#NUM!</v>
      </c>
      <c r="K146" s="80" t="e">
        <f>-LARGE($E$2:$E$241,145)</f>
        <v>#NUM!</v>
      </c>
      <c r="L146" s="67" t="e">
        <f t="shared" si="14"/>
        <v>#NUM!</v>
      </c>
      <c r="M146" s="85" t="e">
        <f t="shared" si="13"/>
        <v>#NUM!</v>
      </c>
      <c r="N146" s="39">
        <v>145</v>
      </c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2:39" ht="17.25" thickTop="1" thickBot="1">
      <c r="B147">
        <f>wyniki!B177</f>
        <v>0</v>
      </c>
      <c r="C147" s="19">
        <f>wyniki!C177</f>
        <v>0</v>
      </c>
      <c r="D147" s="18">
        <v>-1.4599999999999999E-3</v>
      </c>
      <c r="E147" s="19" t="b">
        <f t="shared" si="10"/>
        <v>0</v>
      </c>
      <c r="F147">
        <f>wyniki!$A$175</f>
        <v>0</v>
      </c>
      <c r="G147" s="19">
        <f t="shared" si="11"/>
        <v>0</v>
      </c>
      <c r="J147" s="93" t="e">
        <f t="shared" si="12"/>
        <v>#NUM!</v>
      </c>
      <c r="K147" s="80" t="e">
        <f>-LARGE($E$2:$E$241,146)</f>
        <v>#NUM!</v>
      </c>
      <c r="L147" s="67" t="e">
        <f t="shared" si="14"/>
        <v>#NUM!</v>
      </c>
      <c r="M147" s="85" t="e">
        <f t="shared" si="13"/>
        <v>#NUM!</v>
      </c>
      <c r="N147" s="39">
        <v>146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2:39" ht="17.25" thickTop="1" thickBot="1">
      <c r="B148">
        <f>wyniki!B178</f>
        <v>0</v>
      </c>
      <c r="C148" s="19">
        <f>wyniki!C178</f>
        <v>0</v>
      </c>
      <c r="D148" s="18">
        <v>-1.47E-3</v>
      </c>
      <c r="E148" s="19" t="b">
        <f t="shared" si="10"/>
        <v>0</v>
      </c>
      <c r="F148">
        <f>wyniki!$A$175</f>
        <v>0</v>
      </c>
      <c r="G148" s="19">
        <f t="shared" si="11"/>
        <v>0</v>
      </c>
      <c r="J148" s="93" t="e">
        <f t="shared" si="12"/>
        <v>#NUM!</v>
      </c>
      <c r="K148" s="80" t="e">
        <f>-LARGE($E$2:$E$241,147)</f>
        <v>#NUM!</v>
      </c>
      <c r="L148" s="67" t="e">
        <f t="shared" si="14"/>
        <v>#NUM!</v>
      </c>
      <c r="M148" s="85" t="e">
        <f t="shared" si="13"/>
        <v>#NUM!</v>
      </c>
      <c r="N148" s="39">
        <v>147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2:39" ht="17.25" thickTop="1" thickBot="1">
      <c r="B149">
        <f>wyniki!B179</f>
        <v>0</v>
      </c>
      <c r="C149" s="19">
        <f>wyniki!C179</f>
        <v>0</v>
      </c>
      <c r="D149" s="18">
        <v>-1.48E-3</v>
      </c>
      <c r="E149" s="19" t="b">
        <f t="shared" si="10"/>
        <v>0</v>
      </c>
      <c r="F149">
        <f>wyniki!$A$175</f>
        <v>0</v>
      </c>
      <c r="G149" s="19">
        <f t="shared" si="11"/>
        <v>0</v>
      </c>
      <c r="J149" s="93" t="e">
        <f t="shared" si="12"/>
        <v>#NUM!</v>
      </c>
      <c r="K149" s="80" t="e">
        <f>-LARGE($E$2:$E$241,148)</f>
        <v>#NUM!</v>
      </c>
      <c r="L149" s="67" t="e">
        <f t="shared" si="14"/>
        <v>#NUM!</v>
      </c>
      <c r="M149" s="85" t="e">
        <f t="shared" si="13"/>
        <v>#NUM!</v>
      </c>
      <c r="N149" s="39">
        <v>148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2:39" ht="17.25" thickTop="1" thickBot="1">
      <c r="B150">
        <f>wyniki!B180</f>
        <v>0</v>
      </c>
      <c r="C150" s="19">
        <f>wyniki!C180</f>
        <v>0</v>
      </c>
      <c r="D150" s="18">
        <v>-1.49E-3</v>
      </c>
      <c r="E150" s="19" t="b">
        <f t="shared" si="10"/>
        <v>0</v>
      </c>
      <c r="F150">
        <f>wyniki!$A$175</f>
        <v>0</v>
      </c>
      <c r="G150" s="19">
        <f t="shared" si="11"/>
        <v>0</v>
      </c>
      <c r="J150" s="93" t="e">
        <f t="shared" si="12"/>
        <v>#NUM!</v>
      </c>
      <c r="K150" s="80" t="e">
        <f>-LARGE($E$2:$E$241,149)</f>
        <v>#NUM!</v>
      </c>
      <c r="L150" s="67" t="e">
        <f t="shared" si="14"/>
        <v>#NUM!</v>
      </c>
      <c r="M150" s="85" t="e">
        <f t="shared" si="13"/>
        <v>#NUM!</v>
      </c>
      <c r="N150" s="39">
        <v>149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2:39" ht="17.25" thickTop="1" thickBot="1">
      <c r="B151">
        <f>wyniki!B181</f>
        <v>0</v>
      </c>
      <c r="C151" s="19">
        <f>wyniki!C181</f>
        <v>0</v>
      </c>
      <c r="D151" s="18">
        <v>-1.5E-3</v>
      </c>
      <c r="E151" s="19" t="b">
        <f t="shared" si="10"/>
        <v>0</v>
      </c>
      <c r="F151">
        <f>wyniki!$A$175</f>
        <v>0</v>
      </c>
      <c r="G151" s="19">
        <f t="shared" si="11"/>
        <v>0</v>
      </c>
      <c r="J151" s="93" t="e">
        <f t="shared" si="12"/>
        <v>#NUM!</v>
      </c>
      <c r="K151" s="80" t="e">
        <f>-LARGE($E$2:$E$241,150)</f>
        <v>#NUM!</v>
      </c>
      <c r="L151" s="67" t="e">
        <f t="shared" si="14"/>
        <v>#NUM!</v>
      </c>
      <c r="M151" s="85" t="e">
        <f t="shared" si="13"/>
        <v>#NUM!</v>
      </c>
      <c r="N151" s="39">
        <v>150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2:39" ht="17.25" thickTop="1" thickBot="1">
      <c r="B152">
        <f>wyniki!B183</f>
        <v>0</v>
      </c>
      <c r="C152" s="19">
        <f>wyniki!C183</f>
        <v>0</v>
      </c>
      <c r="D152" s="18">
        <v>-1.5100000000000001E-3</v>
      </c>
      <c r="E152" s="19" t="b">
        <f t="shared" si="10"/>
        <v>0</v>
      </c>
      <c r="F152">
        <f>wyniki!$A$182</f>
        <v>0</v>
      </c>
      <c r="G152" s="19">
        <f t="shared" si="11"/>
        <v>0</v>
      </c>
      <c r="J152" s="93" t="e">
        <f t="shared" si="12"/>
        <v>#NUM!</v>
      </c>
      <c r="K152" s="80" t="e">
        <f>-LARGE($E$2:$E$241,151)</f>
        <v>#NUM!</v>
      </c>
      <c r="L152" s="67" t="e">
        <f t="shared" si="14"/>
        <v>#NUM!</v>
      </c>
      <c r="M152" s="85" t="e">
        <f t="shared" si="13"/>
        <v>#NUM!</v>
      </c>
      <c r="N152" s="39">
        <v>151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2:39" ht="17.25" thickTop="1" thickBot="1">
      <c r="B153">
        <f>wyniki!B184</f>
        <v>0</v>
      </c>
      <c r="C153" s="19">
        <f>wyniki!C184</f>
        <v>0</v>
      </c>
      <c r="D153" s="18">
        <v>-1.5200000000000001E-3</v>
      </c>
      <c r="E153" s="19" t="b">
        <f t="shared" si="10"/>
        <v>0</v>
      </c>
      <c r="F153">
        <f>wyniki!$A$182</f>
        <v>0</v>
      </c>
      <c r="G153" s="19">
        <f t="shared" si="11"/>
        <v>0</v>
      </c>
      <c r="J153" s="93" t="e">
        <f t="shared" si="12"/>
        <v>#NUM!</v>
      </c>
      <c r="K153" s="80" t="e">
        <f>-LARGE($E$2:$E$241,152)</f>
        <v>#NUM!</v>
      </c>
      <c r="L153" s="67" t="e">
        <f t="shared" si="14"/>
        <v>#NUM!</v>
      </c>
      <c r="M153" s="85" t="e">
        <f t="shared" si="13"/>
        <v>#NUM!</v>
      </c>
      <c r="N153" s="39">
        <v>152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2:39" ht="17.25" thickTop="1" thickBot="1">
      <c r="B154">
        <f>wyniki!B185</f>
        <v>0</v>
      </c>
      <c r="C154" s="19">
        <f>wyniki!C185</f>
        <v>0</v>
      </c>
      <c r="D154" s="18">
        <v>-1.5299999999999999E-3</v>
      </c>
      <c r="E154" s="19" t="b">
        <f t="shared" si="10"/>
        <v>0</v>
      </c>
      <c r="F154">
        <f>wyniki!$A$182</f>
        <v>0</v>
      </c>
      <c r="G154" s="19">
        <f t="shared" si="11"/>
        <v>0</v>
      </c>
      <c r="J154" s="93" t="e">
        <f t="shared" si="12"/>
        <v>#NUM!</v>
      </c>
      <c r="K154" s="80" t="e">
        <f>-LARGE($E$2:$E$241,153)</f>
        <v>#NUM!</v>
      </c>
      <c r="L154" s="67" t="e">
        <f t="shared" si="14"/>
        <v>#NUM!</v>
      </c>
      <c r="M154" s="85" t="e">
        <f t="shared" si="13"/>
        <v>#NUM!</v>
      </c>
      <c r="N154" s="39">
        <v>153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2:39" ht="17.25" thickTop="1" thickBot="1">
      <c r="B155">
        <f>wyniki!B186</f>
        <v>0</v>
      </c>
      <c r="C155" s="19">
        <f>wyniki!C186</f>
        <v>0</v>
      </c>
      <c r="D155" s="18">
        <v>-1.5399999999999999E-3</v>
      </c>
      <c r="E155" s="19" t="b">
        <f t="shared" si="10"/>
        <v>0</v>
      </c>
      <c r="F155">
        <f>wyniki!$A$182</f>
        <v>0</v>
      </c>
      <c r="G155" s="19">
        <f t="shared" si="11"/>
        <v>0</v>
      </c>
      <c r="J155" s="93" t="e">
        <f t="shared" si="12"/>
        <v>#NUM!</v>
      </c>
      <c r="K155" s="80" t="e">
        <f>-LARGE($E$2:$E$241,154)</f>
        <v>#NUM!</v>
      </c>
      <c r="L155" s="67" t="e">
        <f t="shared" si="14"/>
        <v>#NUM!</v>
      </c>
      <c r="M155" s="85" t="e">
        <f t="shared" si="13"/>
        <v>#NUM!</v>
      </c>
      <c r="N155" s="39">
        <v>154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2:39" ht="17.25" thickTop="1" thickBot="1">
      <c r="B156">
        <f>wyniki!B187</f>
        <v>0</v>
      </c>
      <c r="C156" s="19">
        <f>wyniki!C187</f>
        <v>0</v>
      </c>
      <c r="D156" s="18">
        <v>-1.5499999999999999E-3</v>
      </c>
      <c r="E156" s="19" t="b">
        <f t="shared" si="10"/>
        <v>0</v>
      </c>
      <c r="F156">
        <f>wyniki!$A$182</f>
        <v>0</v>
      </c>
      <c r="G156" s="19">
        <f t="shared" si="11"/>
        <v>0</v>
      </c>
      <c r="J156" s="93" t="e">
        <f t="shared" si="12"/>
        <v>#NUM!</v>
      </c>
      <c r="K156" s="80" t="e">
        <f>-LARGE($E$2:$E$241,155)</f>
        <v>#NUM!</v>
      </c>
      <c r="L156" s="67" t="e">
        <f t="shared" si="14"/>
        <v>#NUM!</v>
      </c>
      <c r="M156" s="85" t="e">
        <f t="shared" si="13"/>
        <v>#NUM!</v>
      </c>
      <c r="N156" s="39">
        <v>155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2:39" ht="17.25" thickTop="1" thickBot="1">
      <c r="B157">
        <f>wyniki!B188</f>
        <v>0</v>
      </c>
      <c r="C157" s="19">
        <f>wyniki!C188</f>
        <v>0</v>
      </c>
      <c r="D157" s="18">
        <v>-1.56E-3</v>
      </c>
      <c r="E157" s="19" t="b">
        <f t="shared" si="10"/>
        <v>0</v>
      </c>
      <c r="F157">
        <f>wyniki!$A$182</f>
        <v>0</v>
      </c>
      <c r="G157" s="19">
        <f t="shared" si="11"/>
        <v>0</v>
      </c>
      <c r="J157" s="93" t="e">
        <f t="shared" si="12"/>
        <v>#NUM!</v>
      </c>
      <c r="K157" s="80" t="e">
        <f>-LARGE($E$2:$E$241,156)</f>
        <v>#NUM!</v>
      </c>
      <c r="L157" s="67" t="e">
        <f t="shared" si="14"/>
        <v>#NUM!</v>
      </c>
      <c r="M157" s="85" t="e">
        <f t="shared" si="13"/>
        <v>#NUM!</v>
      </c>
      <c r="N157" s="39">
        <v>156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2:39" ht="17.25" thickTop="1" thickBot="1">
      <c r="B158">
        <f>wyniki!B190</f>
        <v>0</v>
      </c>
      <c r="C158" s="19">
        <f>wyniki!C190</f>
        <v>0</v>
      </c>
      <c r="D158" s="18">
        <v>-1.57E-3</v>
      </c>
      <c r="E158" s="19" t="b">
        <f t="shared" si="10"/>
        <v>0</v>
      </c>
      <c r="F158">
        <f>wyniki!$A$189</f>
        <v>0</v>
      </c>
      <c r="G158" s="19">
        <f t="shared" si="11"/>
        <v>0</v>
      </c>
      <c r="J158" s="93" t="e">
        <f t="shared" si="12"/>
        <v>#NUM!</v>
      </c>
      <c r="K158" s="80" t="e">
        <f>-LARGE($E$2:$E$241,157)</f>
        <v>#NUM!</v>
      </c>
      <c r="L158" s="67" t="e">
        <f t="shared" si="14"/>
        <v>#NUM!</v>
      </c>
      <c r="M158" s="85" t="e">
        <f t="shared" si="13"/>
        <v>#NUM!</v>
      </c>
      <c r="N158" s="39">
        <v>157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2:39" ht="17.25" thickTop="1" thickBot="1">
      <c r="B159">
        <f>wyniki!B191</f>
        <v>0</v>
      </c>
      <c r="C159" s="19">
        <f>wyniki!C191</f>
        <v>0</v>
      </c>
      <c r="D159" s="18">
        <v>-1.58E-3</v>
      </c>
      <c r="E159" s="19" t="b">
        <f t="shared" si="10"/>
        <v>0</v>
      </c>
      <c r="F159">
        <f>wyniki!$A$189</f>
        <v>0</v>
      </c>
      <c r="G159" s="19">
        <f t="shared" si="11"/>
        <v>0</v>
      </c>
      <c r="J159" s="93" t="e">
        <f t="shared" si="12"/>
        <v>#NUM!</v>
      </c>
      <c r="K159" s="80" t="e">
        <f>-LARGE($E$2:$E$241,158)</f>
        <v>#NUM!</v>
      </c>
      <c r="L159" s="67" t="e">
        <f t="shared" si="14"/>
        <v>#NUM!</v>
      </c>
      <c r="M159" s="85" t="e">
        <f t="shared" si="13"/>
        <v>#NUM!</v>
      </c>
      <c r="N159" s="39">
        <v>158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2:39" ht="17.25" thickTop="1" thickBot="1">
      <c r="B160">
        <f>wyniki!B192</f>
        <v>0</v>
      </c>
      <c r="C160" s="19">
        <f>wyniki!C192</f>
        <v>0</v>
      </c>
      <c r="D160" s="18">
        <v>-1.5900000000000001E-3</v>
      </c>
      <c r="E160" s="19" t="b">
        <f t="shared" si="10"/>
        <v>0</v>
      </c>
      <c r="F160">
        <f>wyniki!$A$189</f>
        <v>0</v>
      </c>
      <c r="G160" s="19">
        <f t="shared" si="11"/>
        <v>0</v>
      </c>
      <c r="J160" s="93" t="e">
        <f t="shared" si="12"/>
        <v>#NUM!</v>
      </c>
      <c r="K160" s="80" t="e">
        <f>-LARGE($E$2:$E$241,159)</f>
        <v>#NUM!</v>
      </c>
      <c r="L160" s="67" t="e">
        <f t="shared" si="14"/>
        <v>#NUM!</v>
      </c>
      <c r="M160" s="85" t="e">
        <f t="shared" si="13"/>
        <v>#NUM!</v>
      </c>
      <c r="N160" s="39">
        <v>159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2:39" ht="17.25" thickTop="1" thickBot="1">
      <c r="B161">
        <f>wyniki!B193</f>
        <v>0</v>
      </c>
      <c r="C161" s="19">
        <f>wyniki!C193</f>
        <v>0</v>
      </c>
      <c r="D161" s="18">
        <v>-1.6000000000000001E-3</v>
      </c>
      <c r="E161" s="19" t="b">
        <f t="shared" si="10"/>
        <v>0</v>
      </c>
      <c r="F161">
        <f>wyniki!$A$189</f>
        <v>0</v>
      </c>
      <c r="G161" s="19">
        <f t="shared" si="11"/>
        <v>0</v>
      </c>
      <c r="J161" s="93" t="e">
        <f t="shared" si="12"/>
        <v>#NUM!</v>
      </c>
      <c r="K161" s="80" t="e">
        <f>-LARGE($E$2:$E$241,160)</f>
        <v>#NUM!</v>
      </c>
      <c r="L161" s="67" t="e">
        <f t="shared" si="14"/>
        <v>#NUM!</v>
      </c>
      <c r="M161" s="85" t="e">
        <f t="shared" si="13"/>
        <v>#NUM!</v>
      </c>
      <c r="N161" s="39">
        <v>160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2:39" ht="17.25" thickTop="1" thickBot="1">
      <c r="B162">
        <f>wyniki!B194</f>
        <v>0</v>
      </c>
      <c r="C162" s="19">
        <f>wyniki!C194</f>
        <v>0</v>
      </c>
      <c r="D162" s="18">
        <v>-1.6100000000000001E-3</v>
      </c>
      <c r="E162" s="19" t="b">
        <f t="shared" si="10"/>
        <v>0</v>
      </c>
      <c r="F162">
        <f>wyniki!$A$189</f>
        <v>0</v>
      </c>
      <c r="G162" s="19">
        <f t="shared" si="11"/>
        <v>0</v>
      </c>
      <c r="J162" s="93" t="e">
        <f t="shared" si="12"/>
        <v>#NUM!</v>
      </c>
      <c r="K162" s="80" t="e">
        <f>-LARGE($E$2:$E$241,161)</f>
        <v>#NUM!</v>
      </c>
      <c r="L162" s="67" t="e">
        <f t="shared" si="14"/>
        <v>#NUM!</v>
      </c>
      <c r="M162" s="85" t="e">
        <f t="shared" si="13"/>
        <v>#NUM!</v>
      </c>
      <c r="N162" s="39">
        <v>161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2:39" ht="17.25" thickTop="1" thickBot="1">
      <c r="B163">
        <f>wyniki!B195</f>
        <v>0</v>
      </c>
      <c r="C163" s="19">
        <f>wyniki!C195</f>
        <v>0</v>
      </c>
      <c r="D163" s="18">
        <v>-1.6199999999999999E-3</v>
      </c>
      <c r="E163" s="19" t="b">
        <f t="shared" si="10"/>
        <v>0</v>
      </c>
      <c r="F163">
        <f>wyniki!$A$189</f>
        <v>0</v>
      </c>
      <c r="G163" s="19">
        <f t="shared" si="11"/>
        <v>0</v>
      </c>
      <c r="J163" s="93" t="e">
        <f t="shared" si="12"/>
        <v>#NUM!</v>
      </c>
      <c r="K163" s="80" t="e">
        <f>-LARGE($E$2:$E$241,162)</f>
        <v>#NUM!</v>
      </c>
      <c r="L163" s="67" t="e">
        <f t="shared" si="14"/>
        <v>#NUM!</v>
      </c>
      <c r="M163" s="85" t="e">
        <f t="shared" si="13"/>
        <v>#NUM!</v>
      </c>
      <c r="N163" s="39">
        <v>162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2:39" ht="17.25" thickTop="1" thickBot="1">
      <c r="B164">
        <f>wyniki!B197</f>
        <v>0</v>
      </c>
      <c r="C164" s="19">
        <f>wyniki!C197</f>
        <v>0</v>
      </c>
      <c r="D164" s="18">
        <v>-1.6299999999999999E-3</v>
      </c>
      <c r="E164" s="19" t="b">
        <f t="shared" si="10"/>
        <v>0</v>
      </c>
      <c r="F164">
        <f>wyniki!$A$196</f>
        <v>0</v>
      </c>
      <c r="G164" s="19">
        <f t="shared" si="11"/>
        <v>0</v>
      </c>
      <c r="J164" s="93" t="e">
        <f t="shared" si="12"/>
        <v>#NUM!</v>
      </c>
      <c r="K164" s="80" t="e">
        <f>-LARGE($E$2:$E$241,163)</f>
        <v>#NUM!</v>
      </c>
      <c r="L164" s="67" t="e">
        <f t="shared" si="14"/>
        <v>#NUM!</v>
      </c>
      <c r="M164" s="85" t="e">
        <f t="shared" si="13"/>
        <v>#NUM!</v>
      </c>
      <c r="N164" s="39">
        <v>163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2:39" ht="17.25" thickTop="1" thickBot="1">
      <c r="B165">
        <f>wyniki!B198</f>
        <v>0</v>
      </c>
      <c r="C165" s="19">
        <f>wyniki!C198</f>
        <v>0</v>
      </c>
      <c r="D165" s="18">
        <v>-1.64E-3</v>
      </c>
      <c r="E165" s="19" t="b">
        <f t="shared" si="10"/>
        <v>0</v>
      </c>
      <c r="F165">
        <f>wyniki!$A$196</f>
        <v>0</v>
      </c>
      <c r="G165" s="19">
        <f t="shared" si="11"/>
        <v>0</v>
      </c>
      <c r="J165" s="93" t="e">
        <f t="shared" si="12"/>
        <v>#NUM!</v>
      </c>
      <c r="K165" s="80" t="e">
        <f>-LARGE($E$2:$E$241,164)</f>
        <v>#NUM!</v>
      </c>
      <c r="L165" s="67" t="e">
        <f t="shared" si="14"/>
        <v>#NUM!</v>
      </c>
      <c r="M165" s="85" t="e">
        <f t="shared" si="13"/>
        <v>#NUM!</v>
      </c>
      <c r="N165" s="39">
        <v>164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2:39" ht="17.25" thickTop="1" thickBot="1">
      <c r="B166">
        <f>wyniki!B199</f>
        <v>0</v>
      </c>
      <c r="C166" s="19">
        <f>wyniki!C199</f>
        <v>0</v>
      </c>
      <c r="D166" s="18">
        <v>-1.65E-3</v>
      </c>
      <c r="E166" s="19" t="b">
        <f t="shared" si="10"/>
        <v>0</v>
      </c>
      <c r="F166">
        <f>wyniki!$A$196</f>
        <v>0</v>
      </c>
      <c r="G166" s="19">
        <f t="shared" si="11"/>
        <v>0</v>
      </c>
      <c r="J166" s="93" t="e">
        <f t="shared" si="12"/>
        <v>#NUM!</v>
      </c>
      <c r="K166" s="80" t="e">
        <f>-LARGE($E$2:$E$241,165)</f>
        <v>#NUM!</v>
      </c>
      <c r="L166" s="67" t="e">
        <f t="shared" si="14"/>
        <v>#NUM!</v>
      </c>
      <c r="M166" s="85" t="e">
        <f t="shared" si="13"/>
        <v>#NUM!</v>
      </c>
      <c r="N166" s="39">
        <v>165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</row>
    <row r="167" spans="2:39" ht="17.25" thickTop="1" thickBot="1">
      <c r="B167">
        <f>wyniki!B200</f>
        <v>0</v>
      </c>
      <c r="C167" s="19">
        <f>wyniki!C200</f>
        <v>0</v>
      </c>
      <c r="D167" s="18">
        <v>-1.66E-3</v>
      </c>
      <c r="E167" s="19" t="b">
        <f t="shared" si="10"/>
        <v>0</v>
      </c>
      <c r="F167">
        <f>wyniki!$A$196</f>
        <v>0</v>
      </c>
      <c r="G167" s="19">
        <f t="shared" si="11"/>
        <v>0</v>
      </c>
      <c r="J167" s="93" t="e">
        <f t="shared" si="12"/>
        <v>#NUM!</v>
      </c>
      <c r="K167" s="80" t="e">
        <f>-LARGE($E$2:$E$241,166)</f>
        <v>#NUM!</v>
      </c>
      <c r="L167" s="67" t="e">
        <f t="shared" si="14"/>
        <v>#NUM!</v>
      </c>
      <c r="M167" s="85" t="e">
        <f t="shared" si="13"/>
        <v>#NUM!</v>
      </c>
      <c r="N167" s="39">
        <v>166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</row>
    <row r="168" spans="2:39" ht="17.25" thickTop="1" thickBot="1">
      <c r="B168">
        <f>wyniki!B201</f>
        <v>0</v>
      </c>
      <c r="C168" s="19">
        <f>wyniki!C201</f>
        <v>0</v>
      </c>
      <c r="D168" s="18">
        <v>-1.67E-3</v>
      </c>
      <c r="E168" s="19" t="b">
        <f t="shared" si="10"/>
        <v>0</v>
      </c>
      <c r="F168">
        <f>wyniki!$A$196</f>
        <v>0</v>
      </c>
      <c r="G168" s="19">
        <f t="shared" si="11"/>
        <v>0</v>
      </c>
      <c r="J168" s="93" t="e">
        <f t="shared" si="12"/>
        <v>#NUM!</v>
      </c>
      <c r="K168" s="80" t="e">
        <f>-LARGE($E$2:$E$241,167)</f>
        <v>#NUM!</v>
      </c>
      <c r="L168" s="67" t="e">
        <f t="shared" si="14"/>
        <v>#NUM!</v>
      </c>
      <c r="M168" s="85" t="e">
        <f t="shared" si="13"/>
        <v>#NUM!</v>
      </c>
      <c r="N168" s="39">
        <v>167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2:39" ht="17.25" thickTop="1" thickBot="1">
      <c r="B169">
        <f>wyniki!B202</f>
        <v>0</v>
      </c>
      <c r="C169" s="19">
        <f>wyniki!C202</f>
        <v>0</v>
      </c>
      <c r="D169" s="18">
        <v>-1.6800000000000001E-3</v>
      </c>
      <c r="E169" s="19" t="b">
        <f t="shared" si="10"/>
        <v>0</v>
      </c>
      <c r="F169">
        <f>wyniki!$A$196</f>
        <v>0</v>
      </c>
      <c r="G169" s="19">
        <f t="shared" si="11"/>
        <v>0</v>
      </c>
      <c r="J169" s="93" t="e">
        <f t="shared" si="12"/>
        <v>#NUM!</v>
      </c>
      <c r="K169" s="80" t="e">
        <f>-LARGE($E$2:$E$241,168)</f>
        <v>#NUM!</v>
      </c>
      <c r="L169" s="67" t="e">
        <f t="shared" si="14"/>
        <v>#NUM!</v>
      </c>
      <c r="M169" s="85" t="e">
        <f t="shared" si="13"/>
        <v>#NUM!</v>
      </c>
      <c r="N169" s="39">
        <v>168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2:39" ht="17.25" thickTop="1" thickBot="1">
      <c r="B170">
        <f>wyniki!B204</f>
        <v>0</v>
      </c>
      <c r="C170" s="19">
        <f>wyniki!C204</f>
        <v>0</v>
      </c>
      <c r="D170" s="18">
        <v>-1.6900000000000001E-3</v>
      </c>
      <c r="E170" s="19" t="b">
        <f t="shared" si="10"/>
        <v>0</v>
      </c>
      <c r="F170">
        <f>wyniki!$A$203</f>
        <v>0</v>
      </c>
      <c r="G170" s="19">
        <f t="shared" si="11"/>
        <v>0</v>
      </c>
      <c r="J170" s="93" t="e">
        <f t="shared" si="12"/>
        <v>#NUM!</v>
      </c>
      <c r="K170" s="80" t="e">
        <f>-LARGE($E$2:$E$241,169)</f>
        <v>#NUM!</v>
      </c>
      <c r="L170" s="67" t="e">
        <f t="shared" si="14"/>
        <v>#NUM!</v>
      </c>
      <c r="M170" s="85" t="e">
        <f t="shared" si="13"/>
        <v>#NUM!</v>
      </c>
      <c r="N170" s="39">
        <v>169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2:39" ht="17.25" thickTop="1" thickBot="1">
      <c r="B171">
        <f>wyniki!B205</f>
        <v>0</v>
      </c>
      <c r="C171" s="19">
        <f>wyniki!C205</f>
        <v>0</v>
      </c>
      <c r="D171" s="18">
        <v>-1.6999999999999999E-3</v>
      </c>
      <c r="E171" s="19" t="b">
        <f t="shared" si="10"/>
        <v>0</v>
      </c>
      <c r="F171">
        <f>wyniki!$A$203</f>
        <v>0</v>
      </c>
      <c r="G171" s="19">
        <f t="shared" si="11"/>
        <v>0</v>
      </c>
      <c r="J171" s="93" t="e">
        <f t="shared" si="12"/>
        <v>#NUM!</v>
      </c>
      <c r="K171" s="80" t="e">
        <f>-LARGE($E$2:$E$241,170)</f>
        <v>#NUM!</v>
      </c>
      <c r="L171" s="67" t="e">
        <f t="shared" si="14"/>
        <v>#NUM!</v>
      </c>
      <c r="M171" s="85" t="e">
        <f t="shared" si="13"/>
        <v>#NUM!</v>
      </c>
      <c r="N171" s="39">
        <v>170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2:39" ht="17.25" thickTop="1" thickBot="1">
      <c r="B172">
        <f>wyniki!B206</f>
        <v>0</v>
      </c>
      <c r="C172" s="19">
        <f>wyniki!C206</f>
        <v>0</v>
      </c>
      <c r="D172" s="18">
        <v>-1.7099999999999999E-3</v>
      </c>
      <c r="E172" s="19" t="b">
        <f t="shared" si="10"/>
        <v>0</v>
      </c>
      <c r="F172">
        <f>wyniki!$A$203</f>
        <v>0</v>
      </c>
      <c r="G172" s="19">
        <f t="shared" si="11"/>
        <v>0</v>
      </c>
      <c r="J172" s="93" t="e">
        <f t="shared" si="12"/>
        <v>#NUM!</v>
      </c>
      <c r="K172" s="80" t="e">
        <f>-LARGE($E$2:$E$241,171)</f>
        <v>#NUM!</v>
      </c>
      <c r="L172" s="67" t="e">
        <f t="shared" si="14"/>
        <v>#NUM!</v>
      </c>
      <c r="M172" s="85" t="e">
        <f t="shared" si="13"/>
        <v>#NUM!</v>
      </c>
      <c r="N172" s="39">
        <v>171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2:39" ht="17.25" thickTop="1" thickBot="1">
      <c r="B173">
        <f>wyniki!B207</f>
        <v>0</v>
      </c>
      <c r="C173" s="19">
        <f>wyniki!C207</f>
        <v>0</v>
      </c>
      <c r="D173" s="18">
        <v>-1.72E-3</v>
      </c>
      <c r="E173" s="19" t="b">
        <f t="shared" si="10"/>
        <v>0</v>
      </c>
      <c r="F173">
        <f>wyniki!$A$203</f>
        <v>0</v>
      </c>
      <c r="G173" s="19">
        <f t="shared" si="11"/>
        <v>0</v>
      </c>
      <c r="J173" s="93" t="e">
        <f t="shared" si="12"/>
        <v>#NUM!</v>
      </c>
      <c r="K173" s="80" t="e">
        <f>-LARGE($E$2:$E$241,172)</f>
        <v>#NUM!</v>
      </c>
      <c r="L173" s="67" t="e">
        <f t="shared" si="14"/>
        <v>#NUM!</v>
      </c>
      <c r="M173" s="85" t="e">
        <f t="shared" si="13"/>
        <v>#NUM!</v>
      </c>
      <c r="N173" s="39">
        <v>172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2:39" ht="17.25" thickTop="1" thickBot="1">
      <c r="B174">
        <f>wyniki!B208</f>
        <v>0</v>
      </c>
      <c r="C174" s="19">
        <f>wyniki!C208</f>
        <v>0</v>
      </c>
      <c r="D174" s="18">
        <v>-1.73E-3</v>
      </c>
      <c r="E174" s="19" t="b">
        <f t="shared" si="10"/>
        <v>0</v>
      </c>
      <c r="F174">
        <f>wyniki!$A$203</f>
        <v>0</v>
      </c>
      <c r="G174" s="19">
        <f t="shared" si="11"/>
        <v>0</v>
      </c>
      <c r="J174" s="93" t="e">
        <f t="shared" si="12"/>
        <v>#NUM!</v>
      </c>
      <c r="K174" s="80" t="e">
        <f>-LARGE($E$2:$E$241,173)</f>
        <v>#NUM!</v>
      </c>
      <c r="L174" s="67" t="e">
        <f t="shared" si="14"/>
        <v>#NUM!</v>
      </c>
      <c r="M174" s="85" t="e">
        <f t="shared" si="13"/>
        <v>#NUM!</v>
      </c>
      <c r="N174" s="39">
        <v>173</v>
      </c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2:39" ht="17.25" thickTop="1" thickBot="1">
      <c r="B175">
        <f>wyniki!B209</f>
        <v>0</v>
      </c>
      <c r="C175" s="19">
        <f>wyniki!C209</f>
        <v>0</v>
      </c>
      <c r="D175" s="18">
        <v>-1.74E-3</v>
      </c>
      <c r="E175" s="19" t="b">
        <f t="shared" si="10"/>
        <v>0</v>
      </c>
      <c r="F175">
        <f>wyniki!$A$203</f>
        <v>0</v>
      </c>
      <c r="G175" s="19">
        <f t="shared" si="11"/>
        <v>0</v>
      </c>
      <c r="J175" s="93" t="e">
        <f t="shared" si="12"/>
        <v>#NUM!</v>
      </c>
      <c r="K175" s="80" t="e">
        <f>-LARGE($E$2:$E$241,174)</f>
        <v>#NUM!</v>
      </c>
      <c r="L175" s="67" t="e">
        <f t="shared" si="14"/>
        <v>#NUM!</v>
      </c>
      <c r="M175" s="85" t="e">
        <f t="shared" si="13"/>
        <v>#NUM!</v>
      </c>
      <c r="N175" s="39">
        <v>174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2:39" ht="17.25" thickTop="1" thickBot="1">
      <c r="B176">
        <f>wyniki!B211</f>
        <v>0</v>
      </c>
      <c r="C176" s="19">
        <f>wyniki!C211</f>
        <v>0</v>
      </c>
      <c r="D176" s="18">
        <v>-1.75E-3</v>
      </c>
      <c r="E176" s="19" t="b">
        <f t="shared" si="10"/>
        <v>0</v>
      </c>
      <c r="F176">
        <f>wyniki!$A$210</f>
        <v>0</v>
      </c>
      <c r="G176" s="19">
        <f t="shared" si="11"/>
        <v>0</v>
      </c>
      <c r="J176" s="93" t="e">
        <f t="shared" si="12"/>
        <v>#NUM!</v>
      </c>
      <c r="K176" s="80" t="e">
        <f>-LARGE($E$2:$E$241,175)</f>
        <v>#NUM!</v>
      </c>
      <c r="L176" s="67" t="e">
        <f t="shared" si="14"/>
        <v>#NUM!</v>
      </c>
      <c r="M176" s="85" t="e">
        <f t="shared" si="13"/>
        <v>#NUM!</v>
      </c>
      <c r="N176" s="39">
        <v>175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2:39" ht="17.25" thickTop="1" thickBot="1">
      <c r="B177">
        <f>wyniki!B212</f>
        <v>0</v>
      </c>
      <c r="C177" s="19">
        <f>wyniki!C212</f>
        <v>0</v>
      </c>
      <c r="D177" s="18">
        <v>-1.7600000000000001E-3</v>
      </c>
      <c r="E177" s="19" t="b">
        <f t="shared" si="10"/>
        <v>0</v>
      </c>
      <c r="F177">
        <f>wyniki!$A$210</f>
        <v>0</v>
      </c>
      <c r="G177" s="19">
        <f t="shared" si="11"/>
        <v>0</v>
      </c>
      <c r="J177" s="93" t="e">
        <f t="shared" si="12"/>
        <v>#NUM!</v>
      </c>
      <c r="K177" s="80" t="e">
        <f>-LARGE($E$2:$E$241,176)</f>
        <v>#NUM!</v>
      </c>
      <c r="L177" s="67" t="e">
        <f t="shared" si="14"/>
        <v>#NUM!</v>
      </c>
      <c r="M177" s="85" t="e">
        <f t="shared" si="13"/>
        <v>#NUM!</v>
      </c>
      <c r="N177" s="39">
        <v>176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2:39" ht="17.25" thickTop="1" thickBot="1">
      <c r="B178">
        <f>wyniki!B213</f>
        <v>0</v>
      </c>
      <c r="C178" s="19">
        <f>wyniki!C213</f>
        <v>0</v>
      </c>
      <c r="D178" s="18">
        <v>-1.7700000000000001E-3</v>
      </c>
      <c r="E178" s="19" t="b">
        <f t="shared" si="10"/>
        <v>0</v>
      </c>
      <c r="F178">
        <f>wyniki!$A$210</f>
        <v>0</v>
      </c>
      <c r="G178" s="19">
        <f t="shared" si="11"/>
        <v>0</v>
      </c>
      <c r="J178" s="93" t="e">
        <f t="shared" si="12"/>
        <v>#NUM!</v>
      </c>
      <c r="K178" s="80" t="e">
        <f>-LARGE($E$2:$E$241,177)</f>
        <v>#NUM!</v>
      </c>
      <c r="L178" s="67" t="e">
        <f t="shared" si="14"/>
        <v>#NUM!</v>
      </c>
      <c r="M178" s="85" t="e">
        <f t="shared" si="13"/>
        <v>#NUM!</v>
      </c>
      <c r="N178" s="39">
        <v>177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2:39" ht="17.25" thickTop="1" thickBot="1">
      <c r="B179">
        <f>wyniki!B214</f>
        <v>0</v>
      </c>
      <c r="C179" s="19">
        <f>wyniki!C214</f>
        <v>0</v>
      </c>
      <c r="D179" s="18">
        <v>-1.7799999999999999E-3</v>
      </c>
      <c r="E179" s="19" t="b">
        <f t="shared" si="10"/>
        <v>0</v>
      </c>
      <c r="F179">
        <f>wyniki!$A$210</f>
        <v>0</v>
      </c>
      <c r="G179" s="19">
        <f t="shared" si="11"/>
        <v>0</v>
      </c>
      <c r="J179" s="93" t="e">
        <f t="shared" si="12"/>
        <v>#NUM!</v>
      </c>
      <c r="K179" s="80" t="e">
        <f>-LARGE($E$2:$E$241,178)</f>
        <v>#NUM!</v>
      </c>
      <c r="L179" s="67" t="e">
        <f t="shared" si="14"/>
        <v>#NUM!</v>
      </c>
      <c r="M179" s="85" t="e">
        <f t="shared" si="13"/>
        <v>#NUM!</v>
      </c>
      <c r="N179" s="39">
        <v>178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2:39" ht="17.25" thickTop="1" thickBot="1">
      <c r="B180">
        <f>wyniki!B215</f>
        <v>0</v>
      </c>
      <c r="C180" s="19">
        <f>wyniki!C215</f>
        <v>0</v>
      </c>
      <c r="D180" s="18">
        <v>-1.7899999999999999E-3</v>
      </c>
      <c r="E180" s="19" t="b">
        <f t="shared" si="10"/>
        <v>0</v>
      </c>
      <c r="F180">
        <f>wyniki!$A$210</f>
        <v>0</v>
      </c>
      <c r="G180" s="19">
        <f t="shared" si="11"/>
        <v>0</v>
      </c>
      <c r="J180" s="93" t="e">
        <f t="shared" si="12"/>
        <v>#NUM!</v>
      </c>
      <c r="K180" s="80" t="e">
        <f>-LARGE($E$2:$E$241,179)</f>
        <v>#NUM!</v>
      </c>
      <c r="L180" s="67" t="e">
        <f t="shared" si="14"/>
        <v>#NUM!</v>
      </c>
      <c r="M180" s="85" t="e">
        <f t="shared" si="13"/>
        <v>#NUM!</v>
      </c>
      <c r="N180" s="39">
        <v>179</v>
      </c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2:39" ht="17.25" thickTop="1" thickBot="1">
      <c r="B181">
        <f>wyniki!B216</f>
        <v>0</v>
      </c>
      <c r="C181" s="19">
        <f>wyniki!C216</f>
        <v>0</v>
      </c>
      <c r="D181" s="18">
        <v>-1.8E-3</v>
      </c>
      <c r="E181" s="19" t="b">
        <f t="shared" si="10"/>
        <v>0</v>
      </c>
      <c r="F181">
        <f>wyniki!$A$210</f>
        <v>0</v>
      </c>
      <c r="G181" s="19">
        <f t="shared" si="11"/>
        <v>0</v>
      </c>
      <c r="J181" s="93" t="e">
        <f t="shared" si="12"/>
        <v>#NUM!</v>
      </c>
      <c r="K181" s="80" t="e">
        <f>-LARGE($E$2:$E$241,180)</f>
        <v>#NUM!</v>
      </c>
      <c r="L181" s="67" t="e">
        <f t="shared" si="14"/>
        <v>#NUM!</v>
      </c>
      <c r="M181" s="85" t="e">
        <f t="shared" si="13"/>
        <v>#NUM!</v>
      </c>
      <c r="N181" s="39">
        <v>180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2:39" ht="17.25" thickTop="1" thickBot="1">
      <c r="B182">
        <f>wyniki!B218</f>
        <v>0</v>
      </c>
      <c r="C182" s="19">
        <f>wyniki!C218</f>
        <v>0</v>
      </c>
      <c r="D182" s="18">
        <v>-1.81E-3</v>
      </c>
      <c r="E182" s="19" t="b">
        <f t="shared" si="10"/>
        <v>0</v>
      </c>
      <c r="F182">
        <f>wyniki!$A$217</f>
        <v>0</v>
      </c>
      <c r="G182" s="19">
        <f t="shared" si="11"/>
        <v>0</v>
      </c>
      <c r="J182" s="93" t="e">
        <f t="shared" si="12"/>
        <v>#NUM!</v>
      </c>
      <c r="K182" s="80" t="e">
        <f>-LARGE($E$2:$E$241,181)</f>
        <v>#NUM!</v>
      </c>
      <c r="L182" s="67" t="e">
        <f t="shared" si="14"/>
        <v>#NUM!</v>
      </c>
      <c r="M182" s="85" t="e">
        <f t="shared" si="13"/>
        <v>#NUM!</v>
      </c>
      <c r="N182" s="39">
        <v>181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2:39" ht="17.25" thickTop="1" thickBot="1">
      <c r="B183">
        <f>wyniki!B219</f>
        <v>0</v>
      </c>
      <c r="C183" s="19">
        <f>wyniki!C219</f>
        <v>0</v>
      </c>
      <c r="D183" s="18">
        <v>-1.82E-3</v>
      </c>
      <c r="E183" s="19" t="b">
        <f t="shared" si="10"/>
        <v>0</v>
      </c>
      <c r="F183">
        <f>wyniki!$A$217</f>
        <v>0</v>
      </c>
      <c r="G183" s="19">
        <f t="shared" si="11"/>
        <v>0</v>
      </c>
      <c r="J183" s="93" t="e">
        <f t="shared" si="12"/>
        <v>#NUM!</v>
      </c>
      <c r="K183" s="80" t="e">
        <f>-LARGE($E$2:$E$241,182)</f>
        <v>#NUM!</v>
      </c>
      <c r="L183" s="67" t="e">
        <f t="shared" si="14"/>
        <v>#NUM!</v>
      </c>
      <c r="M183" s="85" t="e">
        <f t="shared" si="13"/>
        <v>#NUM!</v>
      </c>
      <c r="N183" s="39">
        <v>182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2:39" ht="17.25" thickTop="1" thickBot="1">
      <c r="B184">
        <f>wyniki!B220</f>
        <v>0</v>
      </c>
      <c r="C184" s="19">
        <f>wyniki!C220</f>
        <v>0</v>
      </c>
      <c r="D184" s="18">
        <v>-1.83E-3</v>
      </c>
      <c r="E184" s="19" t="b">
        <f t="shared" si="10"/>
        <v>0</v>
      </c>
      <c r="F184">
        <f>wyniki!$A$217</f>
        <v>0</v>
      </c>
      <c r="G184" s="19">
        <f t="shared" si="11"/>
        <v>0</v>
      </c>
      <c r="J184" s="93" t="e">
        <f t="shared" si="12"/>
        <v>#NUM!</v>
      </c>
      <c r="K184" s="80" t="e">
        <f>-LARGE($E$2:$E$241,183)</f>
        <v>#NUM!</v>
      </c>
      <c r="L184" s="67" t="e">
        <f t="shared" si="14"/>
        <v>#NUM!</v>
      </c>
      <c r="M184" s="85" t="e">
        <f t="shared" si="13"/>
        <v>#NUM!</v>
      </c>
      <c r="N184" s="39">
        <v>183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2:39" ht="17.25" thickTop="1" thickBot="1">
      <c r="B185">
        <f>wyniki!B221</f>
        <v>0</v>
      </c>
      <c r="C185" s="19">
        <f>wyniki!C221</f>
        <v>0</v>
      </c>
      <c r="D185" s="18">
        <v>-1.8400000000000001E-3</v>
      </c>
      <c r="E185" s="19" t="b">
        <f t="shared" si="10"/>
        <v>0</v>
      </c>
      <c r="F185">
        <f>wyniki!$A$217</f>
        <v>0</v>
      </c>
      <c r="G185" s="19">
        <f t="shared" si="11"/>
        <v>0</v>
      </c>
      <c r="J185" s="93" t="e">
        <f t="shared" si="12"/>
        <v>#NUM!</v>
      </c>
      <c r="K185" s="80" t="e">
        <f>-LARGE($E$2:$E$241,184)</f>
        <v>#NUM!</v>
      </c>
      <c r="L185" s="67" t="e">
        <f t="shared" si="14"/>
        <v>#NUM!</v>
      </c>
      <c r="M185" s="85" t="e">
        <f t="shared" si="13"/>
        <v>#NUM!</v>
      </c>
      <c r="N185" s="39">
        <v>184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2:39" ht="17.25" thickTop="1" thickBot="1">
      <c r="B186">
        <f>wyniki!B222</f>
        <v>0</v>
      </c>
      <c r="C186" s="19">
        <f>wyniki!C222</f>
        <v>0</v>
      </c>
      <c r="D186" s="18">
        <v>-1.8500000000000001E-3</v>
      </c>
      <c r="E186" s="19" t="b">
        <f t="shared" si="10"/>
        <v>0</v>
      </c>
      <c r="F186">
        <f>wyniki!$A$217</f>
        <v>0</v>
      </c>
      <c r="G186" s="19">
        <f t="shared" si="11"/>
        <v>0</v>
      </c>
      <c r="J186" s="93" t="e">
        <f t="shared" si="12"/>
        <v>#NUM!</v>
      </c>
      <c r="K186" s="80" t="e">
        <f>-LARGE($E$2:$E$241,185)</f>
        <v>#NUM!</v>
      </c>
      <c r="L186" s="67" t="e">
        <f t="shared" si="14"/>
        <v>#NUM!</v>
      </c>
      <c r="M186" s="85" t="e">
        <f t="shared" si="13"/>
        <v>#NUM!</v>
      </c>
      <c r="N186" s="39">
        <v>185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2:39" ht="17.25" thickTop="1" thickBot="1">
      <c r="B187">
        <f>wyniki!B223</f>
        <v>0</v>
      </c>
      <c r="C187" s="19">
        <f>wyniki!C223</f>
        <v>0</v>
      </c>
      <c r="D187" s="18">
        <v>-1.8600000000000001E-3</v>
      </c>
      <c r="E187" s="19" t="b">
        <f t="shared" si="10"/>
        <v>0</v>
      </c>
      <c r="F187">
        <f>wyniki!$A$217</f>
        <v>0</v>
      </c>
      <c r="G187" s="19">
        <f t="shared" si="11"/>
        <v>0</v>
      </c>
      <c r="J187" s="93" t="e">
        <f t="shared" si="12"/>
        <v>#NUM!</v>
      </c>
      <c r="K187" s="80" t="e">
        <f>-LARGE($E$2:$E$241,186)</f>
        <v>#NUM!</v>
      </c>
      <c r="L187" s="67" t="e">
        <f t="shared" si="14"/>
        <v>#NUM!</v>
      </c>
      <c r="M187" s="85" t="e">
        <f t="shared" si="13"/>
        <v>#NUM!</v>
      </c>
      <c r="N187" s="39">
        <v>186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2:39" ht="17.25" thickTop="1" thickBot="1">
      <c r="B188">
        <f>wyniki!B225</f>
        <v>0</v>
      </c>
      <c r="C188" s="19">
        <f>wyniki!C225</f>
        <v>0</v>
      </c>
      <c r="D188" s="18">
        <v>-1.8699999999999999E-3</v>
      </c>
      <c r="E188" s="19" t="b">
        <f t="shared" si="10"/>
        <v>0</v>
      </c>
      <c r="F188">
        <f>wyniki!$A$224</f>
        <v>0</v>
      </c>
      <c r="G188" s="19">
        <f t="shared" si="11"/>
        <v>0</v>
      </c>
      <c r="J188" s="93" t="e">
        <f t="shared" si="12"/>
        <v>#NUM!</v>
      </c>
      <c r="K188" s="80" t="e">
        <f>-LARGE($E$2:$E$241,187)</f>
        <v>#NUM!</v>
      </c>
      <c r="L188" s="67" t="e">
        <f t="shared" si="14"/>
        <v>#NUM!</v>
      </c>
      <c r="M188" s="85" t="e">
        <f t="shared" si="13"/>
        <v>#NUM!</v>
      </c>
      <c r="N188" s="39">
        <v>187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</row>
    <row r="189" spans="2:39" ht="17.25" thickTop="1" thickBot="1">
      <c r="B189">
        <f>wyniki!B226</f>
        <v>0</v>
      </c>
      <c r="C189" s="19">
        <f>wyniki!C226</f>
        <v>0</v>
      </c>
      <c r="D189" s="18">
        <v>-1.8799999999999999E-3</v>
      </c>
      <c r="E189" s="19" t="b">
        <f t="shared" si="10"/>
        <v>0</v>
      </c>
      <c r="F189">
        <f>wyniki!$A$224</f>
        <v>0</v>
      </c>
      <c r="G189" s="19">
        <f t="shared" si="11"/>
        <v>0</v>
      </c>
      <c r="J189" s="93" t="e">
        <f t="shared" si="12"/>
        <v>#NUM!</v>
      </c>
      <c r="K189" s="80" t="e">
        <f>-LARGE($E$2:$E$241,188)</f>
        <v>#NUM!</v>
      </c>
      <c r="L189" s="67" t="e">
        <f t="shared" si="14"/>
        <v>#NUM!</v>
      </c>
      <c r="M189" s="85" t="e">
        <f t="shared" si="13"/>
        <v>#NUM!</v>
      </c>
      <c r="N189" s="39">
        <v>188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2:39" ht="17.25" thickTop="1" thickBot="1">
      <c r="B190">
        <f>wyniki!B227</f>
        <v>0</v>
      </c>
      <c r="C190" s="19">
        <f>wyniki!C227</f>
        <v>0</v>
      </c>
      <c r="D190" s="18">
        <v>-1.89E-3</v>
      </c>
      <c r="E190" s="19" t="b">
        <f t="shared" si="10"/>
        <v>0</v>
      </c>
      <c r="F190">
        <f>wyniki!$A$224</f>
        <v>0</v>
      </c>
      <c r="G190" s="19">
        <f t="shared" si="11"/>
        <v>0</v>
      </c>
      <c r="J190" s="93" t="e">
        <f t="shared" si="12"/>
        <v>#NUM!</v>
      </c>
      <c r="K190" s="80" t="e">
        <f>-LARGE($E$2:$E$241,189)</f>
        <v>#NUM!</v>
      </c>
      <c r="L190" s="67" t="e">
        <f t="shared" si="14"/>
        <v>#NUM!</v>
      </c>
      <c r="M190" s="85" t="e">
        <f t="shared" si="13"/>
        <v>#NUM!</v>
      </c>
      <c r="N190" s="39">
        <v>189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2:39" ht="17.25" thickTop="1" thickBot="1">
      <c r="B191">
        <f>wyniki!B228</f>
        <v>0</v>
      </c>
      <c r="C191" s="19">
        <f>wyniki!C228</f>
        <v>0</v>
      </c>
      <c r="D191" s="18">
        <v>-1.9E-3</v>
      </c>
      <c r="E191" s="19" t="b">
        <f t="shared" si="10"/>
        <v>0</v>
      </c>
      <c r="F191">
        <f>wyniki!$A$224</f>
        <v>0</v>
      </c>
      <c r="G191" s="19">
        <f t="shared" si="11"/>
        <v>0</v>
      </c>
      <c r="J191" s="93" t="e">
        <f t="shared" si="12"/>
        <v>#NUM!</v>
      </c>
      <c r="K191" s="80" t="e">
        <f>-LARGE($E$2:$E$241,190)</f>
        <v>#NUM!</v>
      </c>
      <c r="L191" s="67" t="e">
        <f t="shared" si="14"/>
        <v>#NUM!</v>
      </c>
      <c r="M191" s="85" t="e">
        <f t="shared" si="13"/>
        <v>#NUM!</v>
      </c>
      <c r="N191" s="39">
        <v>190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</row>
    <row r="192" spans="2:39" ht="17.25" thickTop="1" thickBot="1">
      <c r="B192">
        <f>wyniki!B229</f>
        <v>0</v>
      </c>
      <c r="C192" s="19">
        <f>wyniki!C229</f>
        <v>0</v>
      </c>
      <c r="D192" s="18">
        <v>-1.91E-3</v>
      </c>
      <c r="E192" s="19" t="b">
        <f t="shared" si="10"/>
        <v>0</v>
      </c>
      <c r="F192">
        <f>wyniki!$A$224</f>
        <v>0</v>
      </c>
      <c r="G192" s="19">
        <f t="shared" si="11"/>
        <v>0</v>
      </c>
      <c r="J192" s="93" t="e">
        <f t="shared" si="12"/>
        <v>#NUM!</v>
      </c>
      <c r="K192" s="80" t="e">
        <f>-LARGE($E$2:$E$241,191)</f>
        <v>#NUM!</v>
      </c>
      <c r="L192" s="67" t="e">
        <f t="shared" si="14"/>
        <v>#NUM!</v>
      </c>
      <c r="M192" s="85" t="e">
        <f t="shared" si="13"/>
        <v>#NUM!</v>
      </c>
      <c r="N192" s="39">
        <v>191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2:39" ht="17.25" thickTop="1" thickBot="1">
      <c r="B193">
        <f>wyniki!B230</f>
        <v>0</v>
      </c>
      <c r="C193" s="19">
        <f>wyniki!C230</f>
        <v>0</v>
      </c>
      <c r="D193" s="18">
        <v>-1.92E-3</v>
      </c>
      <c r="E193" s="19" t="b">
        <f t="shared" si="10"/>
        <v>0</v>
      </c>
      <c r="F193">
        <f>wyniki!$A$224</f>
        <v>0</v>
      </c>
      <c r="G193" s="19">
        <f t="shared" si="11"/>
        <v>0</v>
      </c>
      <c r="J193" s="93" t="e">
        <f t="shared" si="12"/>
        <v>#NUM!</v>
      </c>
      <c r="K193" s="80" t="e">
        <f>-LARGE($E$2:$E$241,192)</f>
        <v>#NUM!</v>
      </c>
      <c r="L193" s="67" t="e">
        <f t="shared" si="14"/>
        <v>#NUM!</v>
      </c>
      <c r="M193" s="85" t="e">
        <f t="shared" si="13"/>
        <v>#NUM!</v>
      </c>
      <c r="N193" s="39">
        <v>192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</row>
    <row r="194" spans="2:39" ht="17.25" thickTop="1" thickBot="1">
      <c r="B194">
        <f>wyniki!B232</f>
        <v>0</v>
      </c>
      <c r="C194" s="19">
        <f>wyniki!C232</f>
        <v>0</v>
      </c>
      <c r="D194" s="18">
        <v>-1.9300000000000001E-3</v>
      </c>
      <c r="E194" s="19" t="b">
        <f t="shared" si="10"/>
        <v>0</v>
      </c>
      <c r="F194">
        <f>wyniki!$A$231</f>
        <v>0</v>
      </c>
      <c r="G194" s="19">
        <f t="shared" si="11"/>
        <v>0</v>
      </c>
      <c r="J194" s="93" t="e">
        <f t="shared" si="12"/>
        <v>#NUM!</v>
      </c>
      <c r="K194" s="80" t="e">
        <f>-LARGE($E$2:$E$241,193)</f>
        <v>#NUM!</v>
      </c>
      <c r="L194" s="67" t="e">
        <f t="shared" si="14"/>
        <v>#NUM!</v>
      </c>
      <c r="M194" s="85" t="e">
        <f t="shared" si="13"/>
        <v>#NUM!</v>
      </c>
      <c r="N194" s="39">
        <v>193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</row>
    <row r="195" spans="2:39" ht="17.25" thickTop="1" thickBot="1">
      <c r="B195">
        <f>wyniki!B233</f>
        <v>0</v>
      </c>
      <c r="C195" s="19">
        <f>wyniki!C233</f>
        <v>0</v>
      </c>
      <c r="D195" s="18">
        <v>-1.9400000000000001E-3</v>
      </c>
      <c r="E195" s="19" t="b">
        <f t="shared" ref="E195:E241" si="15">IF(C195&gt;1,G195+D195)</f>
        <v>0</v>
      </c>
      <c r="F195">
        <f>wyniki!$A$231</f>
        <v>0</v>
      </c>
      <c r="G195" s="19">
        <f t="shared" ref="G195:G241" si="16">-C195</f>
        <v>0</v>
      </c>
      <c r="J195" s="93" t="e">
        <f t="shared" ref="J195:J241" si="17">INDEX($B$2:$E$241,L195,1)</f>
        <v>#NUM!</v>
      </c>
      <c r="K195" s="80" t="e">
        <f>-LARGE($E$2:$E$241,194)</f>
        <v>#NUM!</v>
      </c>
      <c r="L195" s="67" t="e">
        <f t="shared" si="14"/>
        <v>#NUM!</v>
      </c>
      <c r="M195" s="85" t="e">
        <f t="shared" ref="M195:M241" si="18">INDEX($E$2:$F$241,L195,2)</f>
        <v>#NUM!</v>
      </c>
      <c r="N195" s="39">
        <v>194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</row>
    <row r="196" spans="2:39" ht="17.25" thickTop="1" thickBot="1">
      <c r="B196">
        <f>wyniki!B234</f>
        <v>0</v>
      </c>
      <c r="C196" s="19">
        <f>wyniki!C234</f>
        <v>0</v>
      </c>
      <c r="D196" s="18">
        <v>-1.9499999999999999E-3</v>
      </c>
      <c r="E196" s="19" t="b">
        <f t="shared" si="15"/>
        <v>0</v>
      </c>
      <c r="F196">
        <f>wyniki!$A$231</f>
        <v>0</v>
      </c>
      <c r="G196" s="19">
        <f t="shared" si="16"/>
        <v>0</v>
      </c>
      <c r="J196" s="93" t="e">
        <f t="shared" si="17"/>
        <v>#NUM!</v>
      </c>
      <c r="K196" s="80" t="e">
        <f>-LARGE($E$2:$E$241,195)</f>
        <v>#NUM!</v>
      </c>
      <c r="L196" s="67" t="e">
        <f t="shared" ref="L196:L241" si="19">MATCH(-K196,$E$2:$E$241,0)</f>
        <v>#NUM!</v>
      </c>
      <c r="M196" s="85" t="e">
        <f t="shared" si="18"/>
        <v>#NUM!</v>
      </c>
      <c r="N196" s="39">
        <v>195</v>
      </c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</row>
    <row r="197" spans="2:39" ht="17.25" thickTop="1" thickBot="1">
      <c r="B197">
        <f>wyniki!B235</f>
        <v>0</v>
      </c>
      <c r="C197" s="19">
        <f>wyniki!C235</f>
        <v>0</v>
      </c>
      <c r="D197" s="18">
        <v>-1.9599999999999999E-3</v>
      </c>
      <c r="E197" s="19" t="b">
        <f t="shared" si="15"/>
        <v>0</v>
      </c>
      <c r="F197">
        <f>wyniki!$A$231</f>
        <v>0</v>
      </c>
      <c r="G197" s="19">
        <f t="shared" si="16"/>
        <v>0</v>
      </c>
      <c r="J197" s="93" t="e">
        <f t="shared" si="17"/>
        <v>#NUM!</v>
      </c>
      <c r="K197" s="80" t="e">
        <f>-LARGE($E$2:$E$241,196)</f>
        <v>#NUM!</v>
      </c>
      <c r="L197" s="67" t="e">
        <f t="shared" si="19"/>
        <v>#NUM!</v>
      </c>
      <c r="M197" s="85" t="e">
        <f t="shared" si="18"/>
        <v>#NUM!</v>
      </c>
      <c r="N197" s="39">
        <v>196</v>
      </c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</row>
    <row r="198" spans="2:39" ht="17.25" thickTop="1" thickBot="1">
      <c r="B198">
        <f>wyniki!B236</f>
        <v>0</v>
      </c>
      <c r="C198" s="19">
        <f>wyniki!C236</f>
        <v>0</v>
      </c>
      <c r="D198" s="18">
        <v>-1.97E-3</v>
      </c>
      <c r="E198" s="19" t="b">
        <f t="shared" si="15"/>
        <v>0</v>
      </c>
      <c r="F198">
        <f>wyniki!$A$231</f>
        <v>0</v>
      </c>
      <c r="G198" s="19">
        <f t="shared" si="16"/>
        <v>0</v>
      </c>
      <c r="J198" s="93" t="e">
        <f t="shared" si="17"/>
        <v>#NUM!</v>
      </c>
      <c r="K198" s="80" t="e">
        <f>-LARGE($E$2:$E$241,197)</f>
        <v>#NUM!</v>
      </c>
      <c r="L198" s="67" t="e">
        <f t="shared" si="19"/>
        <v>#NUM!</v>
      </c>
      <c r="M198" s="85" t="e">
        <f t="shared" si="18"/>
        <v>#NUM!</v>
      </c>
      <c r="N198" s="39">
        <v>197</v>
      </c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</row>
    <row r="199" spans="2:39" ht="17.25" thickTop="1" thickBot="1">
      <c r="B199">
        <f>wyniki!B237</f>
        <v>0</v>
      </c>
      <c r="C199" s="19">
        <f>wyniki!C237</f>
        <v>0</v>
      </c>
      <c r="D199" s="18">
        <v>-1.98E-3</v>
      </c>
      <c r="E199" s="19" t="b">
        <f t="shared" si="15"/>
        <v>0</v>
      </c>
      <c r="F199">
        <f>wyniki!$A$231</f>
        <v>0</v>
      </c>
      <c r="G199" s="19">
        <f t="shared" si="16"/>
        <v>0</v>
      </c>
      <c r="J199" s="93" t="e">
        <f t="shared" si="17"/>
        <v>#NUM!</v>
      </c>
      <c r="K199" s="80" t="e">
        <f>-LARGE($E$2:$E$241,198)</f>
        <v>#NUM!</v>
      </c>
      <c r="L199" s="67" t="e">
        <f t="shared" si="19"/>
        <v>#NUM!</v>
      </c>
      <c r="M199" s="85" t="e">
        <f t="shared" si="18"/>
        <v>#NUM!</v>
      </c>
      <c r="N199" s="39">
        <v>198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</row>
    <row r="200" spans="2:39" ht="17.25" thickTop="1" thickBot="1">
      <c r="B200">
        <f>wyniki!B239</f>
        <v>0</v>
      </c>
      <c r="C200" s="19">
        <f>wyniki!C239</f>
        <v>0</v>
      </c>
      <c r="D200" s="18">
        <v>-1.99E-3</v>
      </c>
      <c r="E200" s="19" t="b">
        <f t="shared" si="15"/>
        <v>0</v>
      </c>
      <c r="F200">
        <f>wyniki!$A$238</f>
        <v>0</v>
      </c>
      <c r="G200" s="19">
        <f t="shared" si="16"/>
        <v>0</v>
      </c>
      <c r="J200" s="93" t="e">
        <f t="shared" si="17"/>
        <v>#NUM!</v>
      </c>
      <c r="K200" s="80" t="e">
        <f>-LARGE($E$2:$E$241,199)</f>
        <v>#NUM!</v>
      </c>
      <c r="L200" s="67" t="e">
        <f t="shared" si="19"/>
        <v>#NUM!</v>
      </c>
      <c r="M200" s="85" t="e">
        <f t="shared" si="18"/>
        <v>#NUM!</v>
      </c>
      <c r="N200" s="39">
        <v>199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</row>
    <row r="201" spans="2:39" ht="17.25" thickTop="1" thickBot="1">
      <c r="B201">
        <f>wyniki!B240</f>
        <v>0</v>
      </c>
      <c r="C201" s="19">
        <f>wyniki!C240</f>
        <v>0</v>
      </c>
      <c r="D201" s="18">
        <v>-2E-3</v>
      </c>
      <c r="E201" s="19" t="b">
        <f t="shared" si="15"/>
        <v>0</v>
      </c>
      <c r="F201">
        <f>wyniki!$A$238</f>
        <v>0</v>
      </c>
      <c r="G201" s="19">
        <f t="shared" si="16"/>
        <v>0</v>
      </c>
      <c r="J201" s="93" t="e">
        <f t="shared" si="17"/>
        <v>#NUM!</v>
      </c>
      <c r="K201" s="80" t="e">
        <f>-LARGE($E$2:$E$241,200)</f>
        <v>#NUM!</v>
      </c>
      <c r="L201" s="67" t="e">
        <f t="shared" si="19"/>
        <v>#NUM!</v>
      </c>
      <c r="M201" s="85" t="e">
        <f t="shared" si="18"/>
        <v>#NUM!</v>
      </c>
      <c r="N201" s="39">
        <v>200</v>
      </c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</row>
    <row r="202" spans="2:39" ht="17.25" thickTop="1" thickBot="1">
      <c r="B202">
        <f>wyniki!B241</f>
        <v>0</v>
      </c>
      <c r="C202" s="19">
        <f>wyniki!C241</f>
        <v>0</v>
      </c>
      <c r="D202" s="18">
        <v>-2.0100000000000001E-3</v>
      </c>
      <c r="E202" s="19" t="b">
        <f t="shared" si="15"/>
        <v>0</v>
      </c>
      <c r="F202">
        <f>wyniki!$A$238</f>
        <v>0</v>
      </c>
      <c r="G202" s="19">
        <f t="shared" si="16"/>
        <v>0</v>
      </c>
      <c r="J202" s="93" t="e">
        <f t="shared" si="17"/>
        <v>#NUM!</v>
      </c>
      <c r="K202" s="80" t="e">
        <f>-LARGE($E$2:$E$241,201)</f>
        <v>#NUM!</v>
      </c>
      <c r="L202" s="67" t="e">
        <f t="shared" si="19"/>
        <v>#NUM!</v>
      </c>
      <c r="M202" s="85" t="e">
        <f t="shared" si="18"/>
        <v>#NUM!</v>
      </c>
      <c r="N202" s="39">
        <v>201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</row>
    <row r="203" spans="2:39" ht="17.25" thickTop="1" thickBot="1">
      <c r="B203">
        <f>wyniki!B242</f>
        <v>0</v>
      </c>
      <c r="C203" s="19">
        <f>wyniki!C242</f>
        <v>0</v>
      </c>
      <c r="D203" s="18">
        <v>-2.0200000000000001E-3</v>
      </c>
      <c r="E203" s="19" t="b">
        <f t="shared" si="15"/>
        <v>0</v>
      </c>
      <c r="F203">
        <f>wyniki!$A$238</f>
        <v>0</v>
      </c>
      <c r="G203" s="19">
        <f t="shared" si="16"/>
        <v>0</v>
      </c>
      <c r="J203" s="93" t="e">
        <f t="shared" si="17"/>
        <v>#NUM!</v>
      </c>
      <c r="K203" s="80" t="e">
        <f>-LARGE($E$2:$E$241,202)</f>
        <v>#NUM!</v>
      </c>
      <c r="L203" s="67" t="e">
        <f t="shared" si="19"/>
        <v>#NUM!</v>
      </c>
      <c r="M203" s="85" t="e">
        <f t="shared" si="18"/>
        <v>#NUM!</v>
      </c>
      <c r="N203" s="39">
        <v>202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2:39" ht="17.25" thickTop="1" thickBot="1">
      <c r="B204">
        <f>wyniki!B243</f>
        <v>0</v>
      </c>
      <c r="C204" s="19">
        <f>wyniki!C243</f>
        <v>0</v>
      </c>
      <c r="D204" s="18">
        <v>-2.0300000000000001E-3</v>
      </c>
      <c r="E204" s="19" t="b">
        <f t="shared" si="15"/>
        <v>0</v>
      </c>
      <c r="F204">
        <f>wyniki!$A$238</f>
        <v>0</v>
      </c>
      <c r="G204" s="19">
        <f t="shared" si="16"/>
        <v>0</v>
      </c>
      <c r="J204" s="93" t="e">
        <f t="shared" si="17"/>
        <v>#NUM!</v>
      </c>
      <c r="K204" s="80" t="e">
        <f>-LARGE($E$2:$E$241,203)</f>
        <v>#NUM!</v>
      </c>
      <c r="L204" s="67" t="e">
        <f t="shared" si="19"/>
        <v>#NUM!</v>
      </c>
      <c r="M204" s="85" t="e">
        <f t="shared" si="18"/>
        <v>#NUM!</v>
      </c>
      <c r="N204" s="39">
        <v>203</v>
      </c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</row>
    <row r="205" spans="2:39" ht="17.25" thickTop="1" thickBot="1">
      <c r="B205">
        <f>wyniki!B244</f>
        <v>0</v>
      </c>
      <c r="C205" s="19">
        <f>wyniki!C244</f>
        <v>0</v>
      </c>
      <c r="D205" s="18">
        <v>-2.0400000000000001E-3</v>
      </c>
      <c r="E205" s="19" t="b">
        <f t="shared" si="15"/>
        <v>0</v>
      </c>
      <c r="F205">
        <f>wyniki!$A$238</f>
        <v>0</v>
      </c>
      <c r="G205" s="19">
        <f t="shared" si="16"/>
        <v>0</v>
      </c>
      <c r="J205" s="93" t="e">
        <f t="shared" si="17"/>
        <v>#NUM!</v>
      </c>
      <c r="K205" s="80" t="e">
        <f>-LARGE($E$2:$E$241,204)</f>
        <v>#NUM!</v>
      </c>
      <c r="L205" s="67" t="e">
        <f t="shared" si="19"/>
        <v>#NUM!</v>
      </c>
      <c r="M205" s="85" t="e">
        <f t="shared" si="18"/>
        <v>#NUM!</v>
      </c>
      <c r="N205" s="39">
        <v>204</v>
      </c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2:39" ht="17.25" thickTop="1" thickBot="1">
      <c r="B206">
        <f>wyniki!B246</f>
        <v>0</v>
      </c>
      <c r="C206" s="19">
        <f>wyniki!C246</f>
        <v>0</v>
      </c>
      <c r="D206" s="18">
        <v>-2.0500000000000002E-3</v>
      </c>
      <c r="E206" s="19" t="b">
        <f t="shared" si="15"/>
        <v>0</v>
      </c>
      <c r="F206">
        <f>wyniki!$A$245</f>
        <v>0</v>
      </c>
      <c r="G206" s="19">
        <f t="shared" si="16"/>
        <v>0</v>
      </c>
      <c r="J206" s="93" t="e">
        <f t="shared" si="17"/>
        <v>#NUM!</v>
      </c>
      <c r="K206" s="80" t="e">
        <f>-LARGE($E$2:$E$241,205)</f>
        <v>#NUM!</v>
      </c>
      <c r="L206" s="67" t="e">
        <f t="shared" si="19"/>
        <v>#NUM!</v>
      </c>
      <c r="M206" s="85" t="e">
        <f t="shared" si="18"/>
        <v>#NUM!</v>
      </c>
      <c r="N206" s="39">
        <v>205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</row>
    <row r="207" spans="2:39" ht="17.25" thickTop="1" thickBot="1">
      <c r="B207">
        <f>wyniki!B247</f>
        <v>0</v>
      </c>
      <c r="C207" s="19">
        <f>wyniki!C247</f>
        <v>0</v>
      </c>
      <c r="D207" s="18">
        <v>-2.0600000000000002E-3</v>
      </c>
      <c r="E207" s="19" t="b">
        <f t="shared" si="15"/>
        <v>0</v>
      </c>
      <c r="F207">
        <f>wyniki!$A$245</f>
        <v>0</v>
      </c>
      <c r="G207" s="19">
        <f t="shared" si="16"/>
        <v>0</v>
      </c>
      <c r="J207" s="93" t="e">
        <f t="shared" si="17"/>
        <v>#NUM!</v>
      </c>
      <c r="K207" s="80" t="e">
        <f>-LARGE($E$2:$E$241,206)</f>
        <v>#NUM!</v>
      </c>
      <c r="L207" s="67" t="e">
        <f t="shared" si="19"/>
        <v>#NUM!</v>
      </c>
      <c r="M207" s="85" t="e">
        <f t="shared" si="18"/>
        <v>#NUM!</v>
      </c>
      <c r="N207" s="39">
        <v>206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2:39" ht="17.25" thickTop="1" thickBot="1">
      <c r="B208">
        <f>wyniki!B248</f>
        <v>0</v>
      </c>
      <c r="C208" s="19">
        <f>wyniki!C248</f>
        <v>0</v>
      </c>
      <c r="D208" s="18">
        <v>-2.0699999999999998E-3</v>
      </c>
      <c r="E208" s="19" t="b">
        <f t="shared" si="15"/>
        <v>0</v>
      </c>
      <c r="F208">
        <f>wyniki!$A$245</f>
        <v>0</v>
      </c>
      <c r="G208" s="19">
        <f t="shared" si="16"/>
        <v>0</v>
      </c>
      <c r="J208" s="93" t="e">
        <f t="shared" si="17"/>
        <v>#NUM!</v>
      </c>
      <c r="K208" s="80" t="e">
        <f>-LARGE($E$2:$E$241,207)</f>
        <v>#NUM!</v>
      </c>
      <c r="L208" s="67" t="e">
        <f t="shared" si="19"/>
        <v>#NUM!</v>
      </c>
      <c r="M208" s="85" t="e">
        <f t="shared" si="18"/>
        <v>#NUM!</v>
      </c>
      <c r="N208" s="39">
        <v>207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</row>
    <row r="209" spans="2:39" ht="17.25" thickTop="1" thickBot="1">
      <c r="B209">
        <f>wyniki!B249</f>
        <v>0</v>
      </c>
      <c r="C209" s="19">
        <f>wyniki!C249</f>
        <v>0</v>
      </c>
      <c r="D209" s="18">
        <v>-2.0799999999999998E-3</v>
      </c>
      <c r="E209" s="19" t="b">
        <f t="shared" si="15"/>
        <v>0</v>
      </c>
      <c r="F209">
        <f>wyniki!$A$245</f>
        <v>0</v>
      </c>
      <c r="G209" s="19">
        <f t="shared" si="16"/>
        <v>0</v>
      </c>
      <c r="J209" s="93" t="e">
        <f t="shared" si="17"/>
        <v>#NUM!</v>
      </c>
      <c r="K209" s="80" t="e">
        <f>-LARGE($E$2:$E$241,208)</f>
        <v>#NUM!</v>
      </c>
      <c r="L209" s="67" t="e">
        <f t="shared" si="19"/>
        <v>#NUM!</v>
      </c>
      <c r="M209" s="85" t="e">
        <f t="shared" si="18"/>
        <v>#NUM!</v>
      </c>
      <c r="N209" s="39">
        <v>208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2:39" ht="17.25" thickTop="1" thickBot="1">
      <c r="B210">
        <f>wyniki!B250</f>
        <v>0</v>
      </c>
      <c r="C210" s="19">
        <f>wyniki!C250</f>
        <v>0</v>
      </c>
      <c r="D210" s="18">
        <v>-2.0899999999999998E-3</v>
      </c>
      <c r="E210" s="19" t="b">
        <f t="shared" si="15"/>
        <v>0</v>
      </c>
      <c r="F210">
        <f>wyniki!$A$245</f>
        <v>0</v>
      </c>
      <c r="G210" s="19">
        <f t="shared" si="16"/>
        <v>0</v>
      </c>
      <c r="J210" s="93" t="e">
        <f t="shared" si="17"/>
        <v>#NUM!</v>
      </c>
      <c r="K210" s="80" t="e">
        <f>-LARGE($E$2:$E$241,209)</f>
        <v>#NUM!</v>
      </c>
      <c r="L210" s="67" t="e">
        <f t="shared" si="19"/>
        <v>#NUM!</v>
      </c>
      <c r="M210" s="85" t="e">
        <f t="shared" si="18"/>
        <v>#NUM!</v>
      </c>
      <c r="N210" s="39">
        <v>209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</row>
    <row r="211" spans="2:39" ht="17.25" thickTop="1" thickBot="1">
      <c r="B211">
        <f>wyniki!B251</f>
        <v>0</v>
      </c>
      <c r="C211" s="19">
        <f>wyniki!C251</f>
        <v>0</v>
      </c>
      <c r="D211" s="18">
        <v>-2.0999999999999999E-3</v>
      </c>
      <c r="E211" s="19" t="b">
        <f t="shared" si="15"/>
        <v>0</v>
      </c>
      <c r="F211">
        <f>wyniki!$A$245</f>
        <v>0</v>
      </c>
      <c r="G211" s="19">
        <f t="shared" si="16"/>
        <v>0</v>
      </c>
      <c r="J211" s="93" t="e">
        <f t="shared" si="17"/>
        <v>#NUM!</v>
      </c>
      <c r="K211" s="80" t="e">
        <f>-LARGE($E$2:$E$241,210)</f>
        <v>#NUM!</v>
      </c>
      <c r="L211" s="67" t="e">
        <f t="shared" si="19"/>
        <v>#NUM!</v>
      </c>
      <c r="M211" s="85" t="e">
        <f t="shared" si="18"/>
        <v>#NUM!</v>
      </c>
      <c r="N211" s="39">
        <v>210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</row>
    <row r="212" spans="2:39" ht="17.25" thickTop="1" thickBot="1">
      <c r="B212">
        <f>wyniki!B253</f>
        <v>0</v>
      </c>
      <c r="C212" s="19">
        <f>wyniki!C253</f>
        <v>0</v>
      </c>
      <c r="D212" s="18">
        <v>-2.1099999999999999E-3</v>
      </c>
      <c r="E212" s="19" t="b">
        <f t="shared" si="15"/>
        <v>0</v>
      </c>
      <c r="F212">
        <f>wyniki!$A$252</f>
        <v>0</v>
      </c>
      <c r="G212" s="19">
        <f t="shared" si="16"/>
        <v>0</v>
      </c>
      <c r="J212" s="93" t="e">
        <f t="shared" si="17"/>
        <v>#NUM!</v>
      </c>
      <c r="K212" s="80" t="e">
        <f>-LARGE($E$2:$E$241,211)</f>
        <v>#NUM!</v>
      </c>
      <c r="L212" s="67" t="e">
        <f t="shared" si="19"/>
        <v>#NUM!</v>
      </c>
      <c r="M212" s="85" t="e">
        <f t="shared" si="18"/>
        <v>#NUM!</v>
      </c>
      <c r="N212" s="39">
        <v>211</v>
      </c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</row>
    <row r="213" spans="2:39" ht="17.25" thickTop="1" thickBot="1">
      <c r="B213">
        <f>wyniki!B254</f>
        <v>0</v>
      </c>
      <c r="C213" s="19">
        <f>wyniki!C254</f>
        <v>0</v>
      </c>
      <c r="D213" s="18">
        <v>-2.1199999999999999E-3</v>
      </c>
      <c r="E213" s="19" t="b">
        <f t="shared" si="15"/>
        <v>0</v>
      </c>
      <c r="F213">
        <f>wyniki!$A$252</f>
        <v>0</v>
      </c>
      <c r="G213" s="19">
        <f t="shared" si="16"/>
        <v>0</v>
      </c>
      <c r="J213" s="93" t="e">
        <f t="shared" si="17"/>
        <v>#NUM!</v>
      </c>
      <c r="K213" s="80" t="e">
        <f>-LARGE($E$2:$E$241,212)</f>
        <v>#NUM!</v>
      </c>
      <c r="L213" s="67" t="e">
        <f t="shared" si="19"/>
        <v>#NUM!</v>
      </c>
      <c r="M213" s="85" t="e">
        <f t="shared" si="18"/>
        <v>#NUM!</v>
      </c>
      <c r="N213" s="39">
        <v>212</v>
      </c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</row>
    <row r="214" spans="2:39" ht="17.25" thickTop="1" thickBot="1">
      <c r="B214">
        <f>wyniki!B255</f>
        <v>0</v>
      </c>
      <c r="C214" s="19">
        <f>wyniki!C255</f>
        <v>0</v>
      </c>
      <c r="D214" s="18">
        <v>-2.1299999999999999E-3</v>
      </c>
      <c r="E214" s="19" t="b">
        <f t="shared" si="15"/>
        <v>0</v>
      </c>
      <c r="F214">
        <f>wyniki!$A$252</f>
        <v>0</v>
      </c>
      <c r="G214" s="19">
        <f t="shared" si="16"/>
        <v>0</v>
      </c>
      <c r="J214" s="93" t="e">
        <f t="shared" si="17"/>
        <v>#NUM!</v>
      </c>
      <c r="K214" s="80" t="e">
        <f>-LARGE($E$2:$E$241,213)</f>
        <v>#NUM!</v>
      </c>
      <c r="L214" s="67" t="e">
        <f t="shared" si="19"/>
        <v>#NUM!</v>
      </c>
      <c r="M214" s="85" t="e">
        <f t="shared" si="18"/>
        <v>#NUM!</v>
      </c>
      <c r="N214" s="39">
        <v>213</v>
      </c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</row>
    <row r="215" spans="2:39" ht="17.25" thickTop="1" thickBot="1">
      <c r="B215">
        <f>wyniki!B256</f>
        <v>0</v>
      </c>
      <c r="C215" s="19">
        <f>wyniki!C256</f>
        <v>0</v>
      </c>
      <c r="D215" s="18">
        <v>-2.14E-3</v>
      </c>
      <c r="E215" s="19" t="b">
        <f t="shared" si="15"/>
        <v>0</v>
      </c>
      <c r="F215">
        <f>wyniki!$A$252</f>
        <v>0</v>
      </c>
      <c r="G215" s="19">
        <f t="shared" si="16"/>
        <v>0</v>
      </c>
      <c r="J215" s="93" t="e">
        <f t="shared" si="17"/>
        <v>#NUM!</v>
      </c>
      <c r="K215" s="80" t="e">
        <f>-LARGE($E$2:$E$241,214)</f>
        <v>#NUM!</v>
      </c>
      <c r="L215" s="67" t="e">
        <f t="shared" si="19"/>
        <v>#NUM!</v>
      </c>
      <c r="M215" s="85" t="e">
        <f t="shared" si="18"/>
        <v>#NUM!</v>
      </c>
      <c r="N215" s="39">
        <v>214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</row>
    <row r="216" spans="2:39" ht="17.25" thickTop="1" thickBot="1">
      <c r="B216">
        <f>wyniki!B257</f>
        <v>0</v>
      </c>
      <c r="C216" s="19">
        <f>wyniki!C257</f>
        <v>0</v>
      </c>
      <c r="D216" s="18">
        <v>-2.15E-3</v>
      </c>
      <c r="E216" s="19" t="b">
        <f t="shared" si="15"/>
        <v>0</v>
      </c>
      <c r="F216">
        <f>wyniki!$A$252</f>
        <v>0</v>
      </c>
      <c r="G216" s="19">
        <f t="shared" si="16"/>
        <v>0</v>
      </c>
      <c r="J216" s="93" t="e">
        <f t="shared" si="17"/>
        <v>#NUM!</v>
      </c>
      <c r="K216" s="80" t="e">
        <f>-LARGE($E$2:$E$241,215)</f>
        <v>#NUM!</v>
      </c>
      <c r="L216" s="67" t="e">
        <f t="shared" si="19"/>
        <v>#NUM!</v>
      </c>
      <c r="M216" s="85" t="e">
        <f t="shared" si="18"/>
        <v>#NUM!</v>
      </c>
      <c r="N216" s="39">
        <v>215</v>
      </c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</row>
    <row r="217" spans="2:39" ht="17.25" thickTop="1" thickBot="1">
      <c r="B217">
        <f>wyniki!B258</f>
        <v>0</v>
      </c>
      <c r="C217" s="19">
        <f>wyniki!C258</f>
        <v>0</v>
      </c>
      <c r="D217" s="18">
        <v>-2.16E-3</v>
      </c>
      <c r="E217" s="19" t="b">
        <f t="shared" si="15"/>
        <v>0</v>
      </c>
      <c r="F217">
        <f>wyniki!$A$252</f>
        <v>0</v>
      </c>
      <c r="G217" s="19">
        <f t="shared" si="16"/>
        <v>0</v>
      </c>
      <c r="J217" s="93" t="e">
        <f t="shared" si="17"/>
        <v>#NUM!</v>
      </c>
      <c r="K217" s="80" t="e">
        <f>-LARGE($E$2:$E$241,216)</f>
        <v>#NUM!</v>
      </c>
      <c r="L217" s="67" t="e">
        <f t="shared" si="19"/>
        <v>#NUM!</v>
      </c>
      <c r="M217" s="85" t="e">
        <f t="shared" si="18"/>
        <v>#NUM!</v>
      </c>
      <c r="N217" s="39">
        <v>216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</row>
    <row r="218" spans="2:39" ht="17.25" thickTop="1" thickBot="1">
      <c r="B218">
        <f>wyniki!B260</f>
        <v>0</v>
      </c>
      <c r="C218" s="19">
        <f>wyniki!C260</f>
        <v>0</v>
      </c>
      <c r="D218" s="18">
        <v>-2.1700000000000001E-3</v>
      </c>
      <c r="E218" s="19" t="b">
        <f t="shared" si="15"/>
        <v>0</v>
      </c>
      <c r="F218">
        <f>wyniki!$A$259</f>
        <v>0</v>
      </c>
      <c r="G218" s="19">
        <f t="shared" si="16"/>
        <v>0</v>
      </c>
      <c r="J218" s="93" t="e">
        <f t="shared" si="17"/>
        <v>#NUM!</v>
      </c>
      <c r="K218" s="80" t="e">
        <f>-LARGE($E$2:$E$241,217)</f>
        <v>#NUM!</v>
      </c>
      <c r="L218" s="67" t="e">
        <f t="shared" si="19"/>
        <v>#NUM!</v>
      </c>
      <c r="M218" s="85" t="e">
        <f t="shared" si="18"/>
        <v>#NUM!</v>
      </c>
      <c r="N218" s="39">
        <v>217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</row>
    <row r="219" spans="2:39" ht="17.25" thickTop="1" thickBot="1">
      <c r="B219">
        <f>wyniki!B261</f>
        <v>0</v>
      </c>
      <c r="C219" s="19">
        <f>wyniki!C261</f>
        <v>0</v>
      </c>
      <c r="D219" s="18">
        <v>-2.1800000000000001E-3</v>
      </c>
      <c r="E219" s="19" t="b">
        <f t="shared" si="15"/>
        <v>0</v>
      </c>
      <c r="F219">
        <f>wyniki!$A$259</f>
        <v>0</v>
      </c>
      <c r="G219" s="19">
        <f t="shared" si="16"/>
        <v>0</v>
      </c>
      <c r="J219" s="93" t="e">
        <f t="shared" si="17"/>
        <v>#NUM!</v>
      </c>
      <c r="K219" s="80" t="e">
        <f>-LARGE($E$2:$E$241,218)</f>
        <v>#NUM!</v>
      </c>
      <c r="L219" s="67" t="e">
        <f t="shared" si="19"/>
        <v>#NUM!</v>
      </c>
      <c r="M219" s="85" t="e">
        <f t="shared" si="18"/>
        <v>#NUM!</v>
      </c>
      <c r="N219" s="39">
        <v>218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</row>
    <row r="220" spans="2:39" ht="17.25" thickTop="1" thickBot="1">
      <c r="B220">
        <f>wyniki!B262</f>
        <v>0</v>
      </c>
      <c r="C220" s="19">
        <f>wyniki!C262</f>
        <v>0</v>
      </c>
      <c r="D220" s="18">
        <v>-2.1900000000000001E-3</v>
      </c>
      <c r="E220" s="19" t="b">
        <f t="shared" si="15"/>
        <v>0</v>
      </c>
      <c r="F220">
        <f>wyniki!$A$259</f>
        <v>0</v>
      </c>
      <c r="G220" s="19">
        <f t="shared" si="16"/>
        <v>0</v>
      </c>
      <c r="J220" s="93" t="e">
        <f t="shared" si="17"/>
        <v>#NUM!</v>
      </c>
      <c r="K220" s="80" t="e">
        <f>-LARGE($E$2:$E$241,219)</f>
        <v>#NUM!</v>
      </c>
      <c r="L220" s="67" t="e">
        <f t="shared" si="19"/>
        <v>#NUM!</v>
      </c>
      <c r="M220" s="85" t="e">
        <f t="shared" si="18"/>
        <v>#NUM!</v>
      </c>
      <c r="N220" s="39">
        <v>219</v>
      </c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</row>
    <row r="221" spans="2:39" ht="17.25" thickTop="1" thickBot="1">
      <c r="B221">
        <f>wyniki!B263</f>
        <v>0</v>
      </c>
      <c r="C221" s="19">
        <f>wyniki!C263</f>
        <v>0</v>
      </c>
      <c r="D221" s="18">
        <v>-2.2000000000000001E-3</v>
      </c>
      <c r="E221" s="19" t="b">
        <f t="shared" si="15"/>
        <v>0</v>
      </c>
      <c r="F221">
        <f>wyniki!$A$259</f>
        <v>0</v>
      </c>
      <c r="G221" s="19">
        <f t="shared" si="16"/>
        <v>0</v>
      </c>
      <c r="J221" s="93" t="e">
        <f t="shared" si="17"/>
        <v>#NUM!</v>
      </c>
      <c r="K221" s="80" t="e">
        <f>-LARGE($E$2:$E$241,220)</f>
        <v>#NUM!</v>
      </c>
      <c r="L221" s="67" t="e">
        <f t="shared" si="19"/>
        <v>#NUM!</v>
      </c>
      <c r="M221" s="85" t="e">
        <f t="shared" si="18"/>
        <v>#NUM!</v>
      </c>
      <c r="N221" s="39">
        <v>220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2:39" ht="17.25" thickTop="1" thickBot="1">
      <c r="B222">
        <f>wyniki!B264</f>
        <v>0</v>
      </c>
      <c r="C222" s="19">
        <f>wyniki!C264</f>
        <v>0</v>
      </c>
      <c r="D222" s="18">
        <v>-2.2100000000000002E-3</v>
      </c>
      <c r="E222" s="19" t="b">
        <f t="shared" si="15"/>
        <v>0</v>
      </c>
      <c r="F222">
        <f>wyniki!$A$259</f>
        <v>0</v>
      </c>
      <c r="G222" s="19">
        <f t="shared" si="16"/>
        <v>0</v>
      </c>
      <c r="J222" s="93" t="e">
        <f t="shared" si="17"/>
        <v>#NUM!</v>
      </c>
      <c r="K222" s="80" t="e">
        <f>-LARGE($E$2:$E$241,221)</f>
        <v>#NUM!</v>
      </c>
      <c r="L222" s="67" t="e">
        <f t="shared" si="19"/>
        <v>#NUM!</v>
      </c>
      <c r="M222" s="85" t="e">
        <f t="shared" si="18"/>
        <v>#NUM!</v>
      </c>
      <c r="N222" s="39">
        <v>221</v>
      </c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</row>
    <row r="223" spans="2:39" ht="17.25" thickTop="1" thickBot="1">
      <c r="B223">
        <f>wyniki!B265</f>
        <v>0</v>
      </c>
      <c r="C223" s="19">
        <f>wyniki!C265</f>
        <v>0</v>
      </c>
      <c r="D223" s="18">
        <v>-2.2200000000000002E-3</v>
      </c>
      <c r="E223" s="19" t="b">
        <f t="shared" si="15"/>
        <v>0</v>
      </c>
      <c r="F223">
        <f>wyniki!$A$259</f>
        <v>0</v>
      </c>
      <c r="G223" s="19">
        <f t="shared" si="16"/>
        <v>0</v>
      </c>
      <c r="J223" s="93" t="e">
        <f t="shared" si="17"/>
        <v>#NUM!</v>
      </c>
      <c r="K223" s="80" t="e">
        <f>-LARGE($E$2:$E$241,222)</f>
        <v>#NUM!</v>
      </c>
      <c r="L223" s="67" t="e">
        <f t="shared" si="19"/>
        <v>#NUM!</v>
      </c>
      <c r="M223" s="85" t="e">
        <f t="shared" si="18"/>
        <v>#NUM!</v>
      </c>
      <c r="N223" s="39">
        <v>222</v>
      </c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</row>
    <row r="224" spans="2:39" ht="17.25" thickTop="1" thickBot="1">
      <c r="B224">
        <f>wyniki!B267</f>
        <v>0</v>
      </c>
      <c r="C224" s="19">
        <f>wyniki!C267</f>
        <v>0</v>
      </c>
      <c r="D224" s="18">
        <v>-2.2300000000000002E-3</v>
      </c>
      <c r="E224" s="19" t="b">
        <f t="shared" si="15"/>
        <v>0</v>
      </c>
      <c r="F224">
        <f>wyniki!$A$266</f>
        <v>0</v>
      </c>
      <c r="G224" s="19">
        <f t="shared" si="16"/>
        <v>0</v>
      </c>
      <c r="J224" s="93" t="e">
        <f t="shared" si="17"/>
        <v>#NUM!</v>
      </c>
      <c r="K224" s="80" t="e">
        <f>-LARGE($E$2:$E$241,223)</f>
        <v>#NUM!</v>
      </c>
      <c r="L224" s="67" t="e">
        <f t="shared" si="19"/>
        <v>#NUM!</v>
      </c>
      <c r="M224" s="85" t="e">
        <f t="shared" si="18"/>
        <v>#NUM!</v>
      </c>
      <c r="N224" s="39">
        <v>223</v>
      </c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</row>
    <row r="225" spans="2:39" ht="17.25" thickTop="1" thickBot="1">
      <c r="B225">
        <f>wyniki!B268</f>
        <v>0</v>
      </c>
      <c r="C225" s="19">
        <f>wyniki!C268</f>
        <v>0</v>
      </c>
      <c r="D225" s="18">
        <v>-2.2399999999999998E-3</v>
      </c>
      <c r="E225" s="19" t="b">
        <f t="shared" si="15"/>
        <v>0</v>
      </c>
      <c r="F225">
        <f>wyniki!$A$266</f>
        <v>0</v>
      </c>
      <c r="G225" s="19">
        <f t="shared" si="16"/>
        <v>0</v>
      </c>
      <c r="J225" s="93" t="e">
        <f t="shared" si="17"/>
        <v>#NUM!</v>
      </c>
      <c r="K225" s="80" t="e">
        <f>-LARGE($E$2:$E$241,224)</f>
        <v>#NUM!</v>
      </c>
      <c r="L225" s="67" t="e">
        <f t="shared" si="19"/>
        <v>#NUM!</v>
      </c>
      <c r="M225" s="85" t="e">
        <f t="shared" si="18"/>
        <v>#NUM!</v>
      </c>
      <c r="N225" s="39">
        <v>224</v>
      </c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</row>
    <row r="226" spans="2:39" ht="17.25" thickTop="1" thickBot="1">
      <c r="B226">
        <f>wyniki!B269</f>
        <v>0</v>
      </c>
      <c r="C226" s="19">
        <f>wyniki!C269</f>
        <v>0</v>
      </c>
      <c r="D226" s="18">
        <v>-2.2499999999999998E-3</v>
      </c>
      <c r="E226" s="19" t="b">
        <f t="shared" si="15"/>
        <v>0</v>
      </c>
      <c r="F226">
        <f>wyniki!$A$266</f>
        <v>0</v>
      </c>
      <c r="G226" s="19">
        <f t="shared" si="16"/>
        <v>0</v>
      </c>
      <c r="J226" s="93" t="e">
        <f t="shared" si="17"/>
        <v>#NUM!</v>
      </c>
      <c r="K226" s="80" t="e">
        <f>-LARGE($E$2:$E$241,225)</f>
        <v>#NUM!</v>
      </c>
      <c r="L226" s="67" t="e">
        <f t="shared" si="19"/>
        <v>#NUM!</v>
      </c>
      <c r="M226" s="85" t="e">
        <f t="shared" si="18"/>
        <v>#NUM!</v>
      </c>
      <c r="N226" s="39">
        <v>225</v>
      </c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</row>
    <row r="227" spans="2:39" ht="17.25" thickTop="1" thickBot="1">
      <c r="B227">
        <f>wyniki!B270</f>
        <v>0</v>
      </c>
      <c r="C227" s="19">
        <f>wyniki!C270</f>
        <v>0</v>
      </c>
      <c r="D227" s="18">
        <v>-2.2599999999999999E-3</v>
      </c>
      <c r="E227" s="19" t="b">
        <f t="shared" si="15"/>
        <v>0</v>
      </c>
      <c r="F227">
        <f>wyniki!$A$266</f>
        <v>0</v>
      </c>
      <c r="G227" s="19">
        <f t="shared" si="16"/>
        <v>0</v>
      </c>
      <c r="J227" s="93" t="e">
        <f t="shared" si="17"/>
        <v>#NUM!</v>
      </c>
      <c r="K227" s="80" t="e">
        <f>-LARGE($E$2:$E$241,226)</f>
        <v>#NUM!</v>
      </c>
      <c r="L227" s="67" t="e">
        <f t="shared" si="19"/>
        <v>#NUM!</v>
      </c>
      <c r="M227" s="85" t="e">
        <f t="shared" si="18"/>
        <v>#NUM!</v>
      </c>
      <c r="N227" s="39">
        <v>226</v>
      </c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2:39" ht="17.25" thickTop="1" thickBot="1">
      <c r="B228">
        <f>wyniki!B271</f>
        <v>0</v>
      </c>
      <c r="C228" s="19">
        <f>wyniki!C271</f>
        <v>0</v>
      </c>
      <c r="D228" s="18">
        <v>-2.2699999999999999E-3</v>
      </c>
      <c r="E228" s="19" t="b">
        <f t="shared" si="15"/>
        <v>0</v>
      </c>
      <c r="F228">
        <f>wyniki!$A$266</f>
        <v>0</v>
      </c>
      <c r="G228" s="19">
        <f t="shared" si="16"/>
        <v>0</v>
      </c>
      <c r="J228" s="93" t="e">
        <f t="shared" si="17"/>
        <v>#NUM!</v>
      </c>
      <c r="K228" s="80" t="e">
        <f>-LARGE($E$2:$E$241,227)</f>
        <v>#NUM!</v>
      </c>
      <c r="L228" s="67" t="e">
        <f t="shared" si="19"/>
        <v>#NUM!</v>
      </c>
      <c r="M228" s="85" t="e">
        <f t="shared" si="18"/>
        <v>#NUM!</v>
      </c>
      <c r="N228" s="39">
        <v>227</v>
      </c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</row>
    <row r="229" spans="2:39" ht="17.25" thickTop="1" thickBot="1">
      <c r="B229">
        <f>wyniki!B272</f>
        <v>0</v>
      </c>
      <c r="C229" s="19">
        <f>wyniki!C272</f>
        <v>0</v>
      </c>
      <c r="D229" s="18">
        <v>-2.2799999999999999E-3</v>
      </c>
      <c r="E229" s="19" t="b">
        <f t="shared" si="15"/>
        <v>0</v>
      </c>
      <c r="F229">
        <f>wyniki!$A$266</f>
        <v>0</v>
      </c>
      <c r="G229" s="19">
        <f t="shared" si="16"/>
        <v>0</v>
      </c>
      <c r="J229" s="93" t="e">
        <f t="shared" si="17"/>
        <v>#NUM!</v>
      </c>
      <c r="K229" s="80" t="e">
        <f>-LARGE($E$2:$E$241,228)</f>
        <v>#NUM!</v>
      </c>
      <c r="L229" s="67" t="e">
        <f t="shared" si="19"/>
        <v>#NUM!</v>
      </c>
      <c r="M229" s="85" t="e">
        <f t="shared" si="18"/>
        <v>#NUM!</v>
      </c>
      <c r="N229" s="39">
        <v>228</v>
      </c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</row>
    <row r="230" spans="2:39" ht="17.25" thickTop="1" thickBot="1">
      <c r="B230">
        <f>wyniki!B274</f>
        <v>0</v>
      </c>
      <c r="C230" s="19">
        <f>wyniki!C274</f>
        <v>0</v>
      </c>
      <c r="D230" s="18">
        <v>-2.2899999999999999E-3</v>
      </c>
      <c r="E230" s="19" t="b">
        <f t="shared" si="15"/>
        <v>0</v>
      </c>
      <c r="F230">
        <f>wyniki!$A$273</f>
        <v>0</v>
      </c>
      <c r="G230" s="19">
        <f t="shared" si="16"/>
        <v>0</v>
      </c>
      <c r="J230" s="93" t="e">
        <f t="shared" si="17"/>
        <v>#NUM!</v>
      </c>
      <c r="K230" s="80" t="e">
        <f>-LARGE($E$2:$E$241,229)</f>
        <v>#NUM!</v>
      </c>
      <c r="L230" s="67" t="e">
        <f t="shared" si="19"/>
        <v>#NUM!</v>
      </c>
      <c r="M230" s="85" t="e">
        <f t="shared" si="18"/>
        <v>#NUM!</v>
      </c>
      <c r="N230" s="39">
        <v>229</v>
      </c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</row>
    <row r="231" spans="2:39" ht="17.25" thickTop="1" thickBot="1">
      <c r="B231">
        <f>wyniki!B275</f>
        <v>0</v>
      </c>
      <c r="C231" s="19">
        <f>wyniki!C275</f>
        <v>0</v>
      </c>
      <c r="D231" s="18">
        <v>-2.3E-3</v>
      </c>
      <c r="E231" s="19" t="b">
        <f t="shared" si="15"/>
        <v>0</v>
      </c>
      <c r="F231">
        <f>wyniki!$A$273</f>
        <v>0</v>
      </c>
      <c r="G231" s="19">
        <f t="shared" si="16"/>
        <v>0</v>
      </c>
      <c r="J231" s="93" t="e">
        <f t="shared" si="17"/>
        <v>#NUM!</v>
      </c>
      <c r="K231" s="80" t="e">
        <f>-LARGE($E$2:$E$241,230)</f>
        <v>#NUM!</v>
      </c>
      <c r="L231" s="67" t="e">
        <f t="shared" si="19"/>
        <v>#NUM!</v>
      </c>
      <c r="M231" s="85" t="e">
        <f t="shared" si="18"/>
        <v>#NUM!</v>
      </c>
      <c r="N231" s="39">
        <v>230</v>
      </c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</row>
    <row r="232" spans="2:39" ht="17.25" thickTop="1" thickBot="1">
      <c r="B232">
        <f>wyniki!B276</f>
        <v>0</v>
      </c>
      <c r="C232" s="19">
        <f>wyniki!C276</f>
        <v>0</v>
      </c>
      <c r="D232" s="18">
        <v>-2.31E-3</v>
      </c>
      <c r="E232" s="19" t="b">
        <f t="shared" si="15"/>
        <v>0</v>
      </c>
      <c r="F232">
        <f>wyniki!$A$273</f>
        <v>0</v>
      </c>
      <c r="G232" s="19">
        <f t="shared" si="16"/>
        <v>0</v>
      </c>
      <c r="J232" s="93" t="e">
        <f t="shared" si="17"/>
        <v>#NUM!</v>
      </c>
      <c r="K232" s="80" t="e">
        <f>-LARGE($E$2:$E$241,231)</f>
        <v>#NUM!</v>
      </c>
      <c r="L232" s="67" t="e">
        <f t="shared" si="19"/>
        <v>#NUM!</v>
      </c>
      <c r="M232" s="85" t="e">
        <f t="shared" si="18"/>
        <v>#NUM!</v>
      </c>
      <c r="N232" s="39">
        <v>231</v>
      </c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</row>
    <row r="233" spans="2:39" ht="17.25" thickTop="1" thickBot="1">
      <c r="B233">
        <f>wyniki!B277</f>
        <v>0</v>
      </c>
      <c r="C233" s="19">
        <f>wyniki!C277</f>
        <v>0</v>
      </c>
      <c r="D233" s="18">
        <v>-2.32E-3</v>
      </c>
      <c r="E233" s="19" t="b">
        <f t="shared" si="15"/>
        <v>0</v>
      </c>
      <c r="F233">
        <f>wyniki!$A$273</f>
        <v>0</v>
      </c>
      <c r="G233" s="19">
        <f t="shared" si="16"/>
        <v>0</v>
      </c>
      <c r="J233" s="93" t="e">
        <f t="shared" si="17"/>
        <v>#NUM!</v>
      </c>
      <c r="K233" s="80" t="e">
        <f>-LARGE($E$2:$E$241,232)</f>
        <v>#NUM!</v>
      </c>
      <c r="L233" s="67" t="e">
        <f t="shared" si="19"/>
        <v>#NUM!</v>
      </c>
      <c r="M233" s="85" t="e">
        <f t="shared" si="18"/>
        <v>#NUM!</v>
      </c>
      <c r="N233" s="39">
        <v>232</v>
      </c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</row>
    <row r="234" spans="2:39" ht="17.25" thickTop="1" thickBot="1">
      <c r="B234">
        <f>wyniki!B278</f>
        <v>0</v>
      </c>
      <c r="C234" s="19">
        <f>wyniki!C278</f>
        <v>0</v>
      </c>
      <c r="D234" s="18">
        <v>-2.33E-3</v>
      </c>
      <c r="E234" s="19" t="b">
        <f t="shared" si="15"/>
        <v>0</v>
      </c>
      <c r="F234">
        <f>wyniki!$A$273</f>
        <v>0</v>
      </c>
      <c r="G234" s="19">
        <f t="shared" si="16"/>
        <v>0</v>
      </c>
      <c r="J234" s="93" t="e">
        <f t="shared" si="17"/>
        <v>#NUM!</v>
      </c>
      <c r="K234" s="80" t="e">
        <f>-LARGE($E$2:$E$241,233)</f>
        <v>#NUM!</v>
      </c>
      <c r="L234" s="67" t="e">
        <f t="shared" si="19"/>
        <v>#NUM!</v>
      </c>
      <c r="M234" s="85" t="e">
        <f t="shared" si="18"/>
        <v>#NUM!</v>
      </c>
      <c r="N234" s="39">
        <v>233</v>
      </c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</row>
    <row r="235" spans="2:39" ht="17.25" thickTop="1" thickBot="1">
      <c r="B235">
        <f>wyniki!B279</f>
        <v>0</v>
      </c>
      <c r="C235" s="19">
        <f>wyniki!C279</f>
        <v>0</v>
      </c>
      <c r="D235" s="18">
        <v>-2.3400000000000001E-3</v>
      </c>
      <c r="E235" s="19" t="b">
        <f t="shared" si="15"/>
        <v>0</v>
      </c>
      <c r="F235">
        <f>wyniki!$A$273</f>
        <v>0</v>
      </c>
      <c r="G235" s="19">
        <f t="shared" si="16"/>
        <v>0</v>
      </c>
      <c r="J235" s="93" t="e">
        <f t="shared" si="17"/>
        <v>#NUM!</v>
      </c>
      <c r="K235" s="80" t="e">
        <f>-LARGE($E$2:$E$241,234)</f>
        <v>#NUM!</v>
      </c>
      <c r="L235" s="67" t="e">
        <f t="shared" si="19"/>
        <v>#NUM!</v>
      </c>
      <c r="M235" s="85" t="e">
        <f t="shared" si="18"/>
        <v>#NUM!</v>
      </c>
      <c r="N235" s="39">
        <v>234</v>
      </c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</row>
    <row r="236" spans="2:39" ht="17.25" thickTop="1" thickBot="1">
      <c r="B236">
        <f>wyniki!B281</f>
        <v>0</v>
      </c>
      <c r="C236" s="19">
        <f>wyniki!C281</f>
        <v>0</v>
      </c>
      <c r="D236" s="18">
        <v>-2.3500000000000001E-3</v>
      </c>
      <c r="E236" s="19" t="b">
        <f t="shared" si="15"/>
        <v>0</v>
      </c>
      <c r="F236">
        <f>wyniki!$A$280</f>
        <v>0</v>
      </c>
      <c r="G236" s="19">
        <f t="shared" si="16"/>
        <v>0</v>
      </c>
      <c r="J236" s="93" t="e">
        <f t="shared" si="17"/>
        <v>#NUM!</v>
      </c>
      <c r="K236" s="80" t="e">
        <f>-LARGE($E$2:$E$241,235)</f>
        <v>#NUM!</v>
      </c>
      <c r="L236" s="67" t="e">
        <f t="shared" si="19"/>
        <v>#NUM!</v>
      </c>
      <c r="M236" s="85" t="e">
        <f t="shared" si="18"/>
        <v>#NUM!</v>
      </c>
      <c r="N236" s="39">
        <v>235</v>
      </c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</row>
    <row r="237" spans="2:39" ht="17.25" thickTop="1" thickBot="1">
      <c r="B237">
        <f>wyniki!B282</f>
        <v>0</v>
      </c>
      <c r="C237" s="19">
        <f>wyniki!C282</f>
        <v>0</v>
      </c>
      <c r="D237" s="18">
        <v>-2.3600000000000001E-3</v>
      </c>
      <c r="E237" s="19" t="b">
        <f t="shared" si="15"/>
        <v>0</v>
      </c>
      <c r="F237">
        <f>wyniki!$A$280</f>
        <v>0</v>
      </c>
      <c r="G237" s="19">
        <f t="shared" si="16"/>
        <v>0</v>
      </c>
      <c r="J237" s="93" t="e">
        <f t="shared" si="17"/>
        <v>#NUM!</v>
      </c>
      <c r="K237" s="80" t="e">
        <f>-LARGE($E$2:$E$241,236)</f>
        <v>#NUM!</v>
      </c>
      <c r="L237" s="67" t="e">
        <f t="shared" si="19"/>
        <v>#NUM!</v>
      </c>
      <c r="M237" s="85" t="e">
        <f t="shared" si="18"/>
        <v>#NUM!</v>
      </c>
      <c r="N237" s="39">
        <v>236</v>
      </c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</row>
    <row r="238" spans="2:39" ht="17.25" thickTop="1" thickBot="1">
      <c r="B238">
        <f>wyniki!B283</f>
        <v>0</v>
      </c>
      <c r="C238" s="19">
        <f>wyniki!C283</f>
        <v>0</v>
      </c>
      <c r="D238" s="18">
        <v>-2.3700000000000001E-3</v>
      </c>
      <c r="E238" s="19" t="b">
        <f t="shared" si="15"/>
        <v>0</v>
      </c>
      <c r="F238">
        <f>wyniki!$A$280</f>
        <v>0</v>
      </c>
      <c r="G238" s="19">
        <f t="shared" si="16"/>
        <v>0</v>
      </c>
      <c r="J238" s="93" t="e">
        <f t="shared" si="17"/>
        <v>#NUM!</v>
      </c>
      <c r="K238" s="80" t="e">
        <f>-LARGE($E$2:$E$241,237)</f>
        <v>#NUM!</v>
      </c>
      <c r="L238" s="67" t="e">
        <f t="shared" si="19"/>
        <v>#NUM!</v>
      </c>
      <c r="M238" s="85" t="e">
        <f t="shared" si="18"/>
        <v>#NUM!</v>
      </c>
      <c r="N238" s="39">
        <v>237</v>
      </c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2:39" ht="17.25" thickTop="1" thickBot="1">
      <c r="B239">
        <f>wyniki!B284</f>
        <v>0</v>
      </c>
      <c r="C239" s="19">
        <f>wyniki!C284</f>
        <v>0</v>
      </c>
      <c r="D239" s="18">
        <v>-2.3800000000000002E-3</v>
      </c>
      <c r="E239" s="19" t="b">
        <f t="shared" si="15"/>
        <v>0</v>
      </c>
      <c r="F239">
        <f>wyniki!$A$280</f>
        <v>0</v>
      </c>
      <c r="G239" s="19">
        <f t="shared" si="16"/>
        <v>0</v>
      </c>
      <c r="J239" s="93" t="e">
        <f t="shared" si="17"/>
        <v>#NUM!</v>
      </c>
      <c r="K239" s="80" t="e">
        <f>-LARGE($E$2:$E$241,238)</f>
        <v>#NUM!</v>
      </c>
      <c r="L239" s="67" t="e">
        <f t="shared" si="19"/>
        <v>#NUM!</v>
      </c>
      <c r="M239" s="85" t="e">
        <f t="shared" si="18"/>
        <v>#NUM!</v>
      </c>
      <c r="N239" s="39">
        <v>238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</row>
    <row r="240" spans="2:39" ht="17.25" thickTop="1" thickBot="1">
      <c r="B240">
        <f>wyniki!B285</f>
        <v>0</v>
      </c>
      <c r="C240" s="19">
        <f>wyniki!C285</f>
        <v>0</v>
      </c>
      <c r="D240" s="18">
        <v>-2.3900000000000002E-3</v>
      </c>
      <c r="E240" s="19" t="b">
        <f t="shared" si="15"/>
        <v>0</v>
      </c>
      <c r="F240">
        <f>wyniki!$A$280</f>
        <v>0</v>
      </c>
      <c r="G240" s="19">
        <f t="shared" si="16"/>
        <v>0</v>
      </c>
      <c r="J240" s="93" t="e">
        <f t="shared" si="17"/>
        <v>#NUM!</v>
      </c>
      <c r="K240" s="80" t="e">
        <f>-LARGE($E$2:$E$241,239)</f>
        <v>#NUM!</v>
      </c>
      <c r="L240" s="67" t="e">
        <f t="shared" si="19"/>
        <v>#NUM!</v>
      </c>
      <c r="M240" s="85" t="e">
        <f t="shared" si="18"/>
        <v>#NUM!</v>
      </c>
      <c r="N240" s="39">
        <v>239</v>
      </c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</row>
    <row r="241" spans="2:39" ht="17.25" thickTop="1" thickBot="1">
      <c r="B241">
        <f>wyniki!B286</f>
        <v>0</v>
      </c>
      <c r="C241" s="19">
        <f>wyniki!C286</f>
        <v>0</v>
      </c>
      <c r="D241" s="18">
        <v>-2.3999999999999998E-3</v>
      </c>
      <c r="E241" s="19" t="b">
        <f t="shared" si="15"/>
        <v>0</v>
      </c>
      <c r="F241">
        <f>wyniki!$A$280</f>
        <v>0</v>
      </c>
      <c r="G241" s="19">
        <f t="shared" si="16"/>
        <v>0</v>
      </c>
      <c r="J241" s="93" t="e">
        <f t="shared" si="17"/>
        <v>#NUM!</v>
      </c>
      <c r="K241" s="80" t="e">
        <f>-LARGE($E$2:$E$241,240)</f>
        <v>#NUM!</v>
      </c>
      <c r="L241" s="67" t="e">
        <f t="shared" si="19"/>
        <v>#NUM!</v>
      </c>
      <c r="M241" s="85" t="e">
        <f t="shared" si="18"/>
        <v>#NUM!</v>
      </c>
      <c r="N241" s="39">
        <v>240</v>
      </c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</row>
    <row r="242" spans="2:39" ht="15.75" thickTop="1"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</row>
    <row r="243" spans="2:39"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</row>
    <row r="244" spans="2:39"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</row>
    <row r="245" spans="2:39"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</row>
    <row r="246" spans="2:39"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</row>
    <row r="247" spans="2:39"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</row>
    <row r="248" spans="2:39"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</row>
    <row r="249" spans="2:39"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</row>
    <row r="250" spans="2:39"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</row>
    <row r="251" spans="2:39"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</row>
    <row r="252" spans="2:39"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</row>
    <row r="253" spans="2:39"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</row>
    <row r="254" spans="2:39"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</row>
    <row r="255" spans="2:39"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2:39"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</row>
    <row r="257" spans="15:39"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</row>
    <row r="258" spans="15:39"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</row>
    <row r="259" spans="15:39"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</row>
    <row r="260" spans="15:39"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</row>
    <row r="261" spans="15:39"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</row>
    <row r="262" spans="15:39"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</row>
    <row r="263" spans="15:39"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</row>
    <row r="264" spans="15:39"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</row>
    <row r="265" spans="15:39"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</row>
    <row r="266" spans="15:39"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</row>
    <row r="267" spans="15:39"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</row>
    <row r="268" spans="15:39"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</row>
    <row r="269" spans="15:39"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</row>
    <row r="270" spans="15:39"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</row>
    <row r="271" spans="15:39"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</row>
    <row r="272" spans="15:39"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</row>
    <row r="273" spans="15:39"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</row>
    <row r="274" spans="15:39"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</row>
    <row r="275" spans="15:39"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</row>
    <row r="276" spans="15:39"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</row>
    <row r="277" spans="15:39"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</row>
    <row r="278" spans="15:39"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</row>
    <row r="279" spans="15:39"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</row>
    <row r="280" spans="15:39"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</row>
    <row r="281" spans="15:39"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</row>
    <row r="282" spans="15:39"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</row>
    <row r="283" spans="15:39"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</row>
    <row r="284" spans="15:39"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</row>
    <row r="285" spans="15:39"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</row>
    <row r="286" spans="15:39"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</row>
    <row r="287" spans="15:39"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</row>
    <row r="288" spans="15:39"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</row>
    <row r="289" spans="15:39"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</row>
    <row r="290" spans="15:39"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</row>
    <row r="291" spans="15:39"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</row>
    <row r="292" spans="15:39"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</row>
    <row r="293" spans="15:39"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</row>
    <row r="294" spans="15:39"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</row>
    <row r="295" spans="15:39"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</row>
    <row r="296" spans="15:39"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</row>
    <row r="297" spans="15:39"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</row>
    <row r="298" spans="15:39"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</row>
    <row r="299" spans="15:39"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</row>
    <row r="300" spans="15:39"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</row>
    <row r="301" spans="15:39"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</row>
    <row r="302" spans="15:39"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</row>
    <row r="303" spans="15:39"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</row>
    <row r="304" spans="15:39"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</row>
    <row r="305" spans="15:39"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</row>
    <row r="306" spans="15:39"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</row>
    <row r="307" spans="15:39"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</row>
    <row r="308" spans="15:39"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</row>
    <row r="309" spans="15:39"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</row>
    <row r="310" spans="15:39"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</row>
    <row r="311" spans="15:39"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</row>
    <row r="312" spans="15:39"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</row>
    <row r="313" spans="15:39"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</row>
    <row r="314" spans="15:39"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</row>
    <row r="315" spans="15:39"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</row>
    <row r="316" spans="15:39"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</row>
    <row r="317" spans="15:39"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</row>
    <row r="318" spans="15:39"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</row>
    <row r="319" spans="15:39"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</row>
    <row r="320" spans="15:39"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</row>
    <row r="321" spans="15:39"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</row>
    <row r="322" spans="15:39"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</row>
    <row r="323" spans="15:39"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</row>
    <row r="324" spans="15:39"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</row>
    <row r="325" spans="15:39"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</row>
    <row r="326" spans="15:39"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</row>
    <row r="327" spans="15:39"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</row>
    <row r="328" spans="15:39"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</row>
    <row r="329" spans="15:39"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</row>
    <row r="330" spans="15:39"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</row>
    <row r="331" spans="15:39"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</row>
    <row r="332" spans="15:39"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</row>
    <row r="333" spans="15:39"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</row>
    <row r="334" spans="15:39"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</row>
    <row r="335" spans="15:39"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</row>
    <row r="336" spans="15:39"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</row>
    <row r="337" spans="15:39"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</row>
    <row r="338" spans="15:39"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</row>
    <row r="339" spans="15:39"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</row>
    <row r="340" spans="15:39"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</row>
    <row r="341" spans="15:39"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</row>
    <row r="342" spans="15:39"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</row>
    <row r="343" spans="15:39"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</row>
    <row r="344" spans="15:39"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</row>
    <row r="345" spans="15:39"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</row>
    <row r="346" spans="15:39"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</row>
    <row r="347" spans="15:39"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</row>
    <row r="348" spans="15:39"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</row>
    <row r="349" spans="15:39"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</row>
    <row r="350" spans="15:39"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</row>
    <row r="351" spans="15:39"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</row>
    <row r="352" spans="15:39"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</row>
    <row r="353" spans="15:39"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</row>
    <row r="354" spans="15:39"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</row>
    <row r="355" spans="15:39"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</row>
    <row r="356" spans="15:39"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</row>
    <row r="357" spans="15:39"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</row>
    <row r="358" spans="15:39"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</row>
    <row r="359" spans="15:39"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</row>
    <row r="360" spans="15:39"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</row>
    <row r="361" spans="15:39"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</row>
    <row r="362" spans="15:39"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</row>
    <row r="363" spans="15:39"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</row>
    <row r="364" spans="15:39"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</row>
    <row r="365" spans="15:39"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</row>
    <row r="366" spans="15:39"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</row>
    <row r="367" spans="15:39"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</row>
    <row r="368" spans="15:39"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</row>
    <row r="369" spans="15:39"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</row>
    <row r="370" spans="15:39"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</row>
    <row r="371" spans="15:39"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</row>
    <row r="372" spans="15:39"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</row>
    <row r="373" spans="15:39"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</row>
    <row r="374" spans="15:39"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</row>
    <row r="375" spans="15:39"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</row>
    <row r="376" spans="15:39"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</row>
    <row r="377" spans="15:39"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</row>
    <row r="378" spans="15:39"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</row>
    <row r="379" spans="15:39"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</row>
    <row r="380" spans="15:39"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</row>
    <row r="381" spans="15:39"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</row>
    <row r="382" spans="15:39"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</row>
    <row r="383" spans="15:39"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</row>
    <row r="384" spans="15:39"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</row>
    <row r="385" spans="15:39"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</row>
    <row r="386" spans="15:39"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</row>
    <row r="387" spans="15:39"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</row>
    <row r="388" spans="15:39"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</row>
    <row r="389" spans="15:39"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</row>
    <row r="390" spans="15:39"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</row>
    <row r="391" spans="15:39"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</row>
    <row r="392" spans="15:39"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</row>
    <row r="393" spans="15:39"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</row>
    <row r="394" spans="15:39"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</row>
    <row r="395" spans="15:39"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</row>
    <row r="396" spans="15:39"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</row>
    <row r="397" spans="15:39"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</row>
    <row r="398" spans="15:39"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</row>
    <row r="399" spans="15:39"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</row>
    <row r="400" spans="15:39"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</row>
    <row r="401" spans="15:39"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</row>
    <row r="402" spans="15:39"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</row>
    <row r="403" spans="15:39"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</row>
    <row r="404" spans="15:39"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</row>
    <row r="405" spans="15:39"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</row>
    <row r="406" spans="15:39"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</row>
    <row r="407" spans="15:39"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</row>
    <row r="408" spans="15:39"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</row>
    <row r="409" spans="15:39"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</row>
    <row r="410" spans="15:39"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</row>
    <row r="411" spans="15:39"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</row>
    <row r="412" spans="15:39"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</row>
    <row r="413" spans="15:39"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</row>
    <row r="414" spans="15:39"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</row>
    <row r="415" spans="15:39"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</row>
    <row r="416" spans="15:39"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</row>
    <row r="417" spans="15:39"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</row>
    <row r="418" spans="15:39"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</row>
    <row r="419" spans="15:39"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</row>
  </sheetData>
  <autoFilter ref="J1:N241"/>
  <phoneticPr fontId="3" type="noConversion"/>
  <pageMargins left="0.75" right="0.75" top="1" bottom="1" header="0.5" footer="0.5"/>
  <pageSetup paperSize="9" scale="80" orientation="portrait" horizontalDpi="4294967294" r:id="rId1"/>
  <headerFooter alignWithMargins="0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Z342"/>
  <sheetViews>
    <sheetView showGridLines="0" view="pageBreakPreview" zoomScaleNormal="100" workbookViewId="0">
      <selection activeCell="J1" sqref="J1"/>
    </sheetView>
  </sheetViews>
  <sheetFormatPr defaultRowHeight="15"/>
  <cols>
    <col min="2" max="2" width="14.42578125" hidden="1" customWidth="1"/>
    <col min="3" max="6" width="0" hidden="1" customWidth="1"/>
    <col min="9" max="9" width="0" hidden="1" customWidth="1"/>
    <col min="10" max="10" width="31.42578125" style="94" customWidth="1"/>
    <col min="11" max="11" width="8.5703125" style="73" bestFit="1" customWidth="1"/>
    <col min="12" max="12" width="0" style="74" hidden="1" customWidth="1"/>
    <col min="13" max="13" width="29.7109375" style="94" customWidth="1"/>
    <col min="14" max="14" width="10.5703125" style="50" bestFit="1" customWidth="1"/>
  </cols>
  <sheetData>
    <row r="1" spans="2:26" ht="19.5" thickTop="1" thickBot="1">
      <c r="J1" s="71" t="s">
        <v>1719</v>
      </c>
      <c r="K1" s="70" t="s">
        <v>1720</v>
      </c>
      <c r="L1" s="71"/>
      <c r="M1" s="96" t="s">
        <v>1721</v>
      </c>
      <c r="N1" s="71" t="s">
        <v>1722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7.25" thickTop="1" thickBot="1">
      <c r="B2" t="str">
        <f>wyniki!B8</f>
        <v>Anielska Aleksandra</v>
      </c>
      <c r="C2" s="19">
        <f>wyniki!E8</f>
        <v>18</v>
      </c>
      <c r="D2" s="18">
        <v>1.0000000000000001E-5</v>
      </c>
      <c r="E2" s="19">
        <f>C2+D2</f>
        <v>18.00001</v>
      </c>
      <c r="F2" t="str">
        <f>wyniki!$A$7</f>
        <v>SP14 Warszawa</v>
      </c>
      <c r="J2" s="93" t="str">
        <f>INDEX($B$2:$E$241,L2,1)</f>
        <v>Fiuk Julia</v>
      </c>
      <c r="K2" s="80">
        <f>LARGE($E$2:$E$241,1)</f>
        <v>46.000439999999998</v>
      </c>
      <c r="L2" s="72">
        <f>MATCH(K2,$E$2:$E$241,0)</f>
        <v>44</v>
      </c>
      <c r="M2" s="93" t="str">
        <f>INDEX($E$2:$F$241,L2,2)</f>
        <v>SP11 Siedlce</v>
      </c>
      <c r="N2" s="39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26" ht="17.25" thickTop="1" thickBot="1">
      <c r="B3" t="str">
        <f>wyniki!B9</f>
        <v>Dłużewska Julia</v>
      </c>
      <c r="C3" s="19">
        <f>wyniki!E9</f>
        <v>27</v>
      </c>
      <c r="D3" s="18">
        <v>2.0000000000000002E-5</v>
      </c>
      <c r="E3" s="19">
        <f t="shared" ref="E3:E66" si="0">C3+D3</f>
        <v>27.000019999999999</v>
      </c>
      <c r="F3" t="str">
        <f>wyniki!$A$7</f>
        <v>SP14 Warszawa</v>
      </c>
      <c r="J3" s="93" t="str">
        <f t="shared" ref="J3:J66" si="1">INDEX($B$2:$E$241,L3,1)</f>
        <v>Jachowicz Roksana</v>
      </c>
      <c r="K3" s="80">
        <f>LARGE($E$2:$E$241,2)</f>
        <v>44.00038</v>
      </c>
      <c r="L3" s="72">
        <f t="shared" ref="L3:L66" si="2">MATCH(K3,$E$2:$E$241,0)</f>
        <v>38</v>
      </c>
      <c r="M3" s="93" t="str">
        <f t="shared" ref="M3:M66" si="3">INDEX($E$2:$F$241,L3,2)</f>
        <v>SP2 Węgrów</v>
      </c>
      <c r="N3" s="39">
        <v>2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2:26" ht="17.25" thickTop="1" thickBot="1">
      <c r="B4" t="str">
        <f>wyniki!B10</f>
        <v>Glegoła Paulia</v>
      </c>
      <c r="C4" s="19">
        <f>wyniki!E10</f>
        <v>41</v>
      </c>
      <c r="D4" s="18">
        <v>3.0000000000000001E-5</v>
      </c>
      <c r="E4" s="19">
        <f t="shared" si="0"/>
        <v>41.000030000000002</v>
      </c>
      <c r="F4" t="str">
        <f>wyniki!$A$7</f>
        <v>SP14 Warszawa</v>
      </c>
      <c r="J4" s="93" t="str">
        <f t="shared" si="1"/>
        <v>Niedziółka Weronika</v>
      </c>
      <c r="K4" s="80">
        <f>LARGE($E$2:$E$241,3)</f>
        <v>43.00047</v>
      </c>
      <c r="L4" s="72">
        <f t="shared" si="2"/>
        <v>47</v>
      </c>
      <c r="M4" s="93" t="str">
        <f t="shared" si="3"/>
        <v>SP11 Siedlce</v>
      </c>
      <c r="N4" s="39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2:26" ht="17.25" thickTop="1" thickBot="1">
      <c r="B5" t="str">
        <f>wyniki!B11</f>
        <v>Pietruszka Aleksandra</v>
      </c>
      <c r="C5" s="19">
        <f>wyniki!E11</f>
        <v>31.5</v>
      </c>
      <c r="D5" s="18">
        <v>4.0000000000000003E-5</v>
      </c>
      <c r="E5" s="19">
        <f t="shared" si="0"/>
        <v>31.500039999999998</v>
      </c>
      <c r="F5" t="str">
        <f>wyniki!$A$7</f>
        <v>SP14 Warszawa</v>
      </c>
      <c r="J5" s="93" t="str">
        <f t="shared" si="1"/>
        <v>Kowalska Maja</v>
      </c>
      <c r="K5" s="80">
        <f>LARGE($E$2:$E$241,4)</f>
        <v>42.500100000000003</v>
      </c>
      <c r="L5" s="72">
        <f t="shared" si="2"/>
        <v>10</v>
      </c>
      <c r="M5" s="93" t="str">
        <f t="shared" si="3"/>
        <v>SP204 Warszawa</v>
      </c>
      <c r="N5" s="39">
        <v>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2:26" ht="17.25" thickTop="1" thickBot="1">
      <c r="B6" t="str">
        <f>wyniki!B12</f>
        <v>Stańczyk Maja</v>
      </c>
      <c r="C6" s="19">
        <f>wyniki!E12</f>
        <v>29.5</v>
      </c>
      <c r="D6" s="18">
        <v>5.0000000000000002E-5</v>
      </c>
      <c r="E6" s="19">
        <f t="shared" si="0"/>
        <v>29.500050000000002</v>
      </c>
      <c r="F6" t="str">
        <f>wyniki!$A$7</f>
        <v>SP14 Warszawa</v>
      </c>
      <c r="J6" s="93" t="str">
        <f t="shared" si="1"/>
        <v>Glegoła Paulia</v>
      </c>
      <c r="K6" s="80">
        <f>LARGE($E$2:$E$241,5)</f>
        <v>41.000030000000002</v>
      </c>
      <c r="L6" s="72">
        <f t="shared" si="2"/>
        <v>3</v>
      </c>
      <c r="M6" s="93" t="str">
        <f t="shared" si="3"/>
        <v>SP14 Warszawa</v>
      </c>
      <c r="N6" s="39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2:26" ht="17.25" thickTop="1" thickBot="1">
      <c r="B7" t="str">
        <f>wyniki!B13</f>
        <v>Wikalińska Maria</v>
      </c>
      <c r="C7" s="19">
        <f>wyniki!E13</f>
        <v>23.5</v>
      </c>
      <c r="D7" s="18">
        <v>6.0000000000000002E-5</v>
      </c>
      <c r="E7" s="19">
        <f t="shared" si="0"/>
        <v>23.500060000000001</v>
      </c>
      <c r="F7" t="str">
        <f>wyniki!$A$7</f>
        <v>SP14 Warszawa</v>
      </c>
      <c r="J7" s="93" t="str">
        <f t="shared" si="1"/>
        <v>Kowal Natalia</v>
      </c>
      <c r="K7" s="80">
        <f>LARGE($E$2:$E$241,6)</f>
        <v>40.500450000000001</v>
      </c>
      <c r="L7" s="72">
        <f t="shared" si="2"/>
        <v>45</v>
      </c>
      <c r="M7" s="93" t="str">
        <f t="shared" si="3"/>
        <v>SP11 Siedlce</v>
      </c>
      <c r="N7" s="39">
        <v>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2:26" ht="17.25" thickTop="1" thickBot="1">
      <c r="B8" t="str">
        <f>wyniki!B15</f>
        <v>Cisowska Lena</v>
      </c>
      <c r="C8" s="19">
        <f>wyniki!E15</f>
        <v>27.5</v>
      </c>
      <c r="D8" s="18">
        <v>6.9999999999999994E-5</v>
      </c>
      <c r="E8" s="19">
        <f t="shared" si="0"/>
        <v>27.500070000000001</v>
      </c>
      <c r="F8" t="str">
        <f>wyniki!$A$14</f>
        <v>SP204 Warszawa</v>
      </c>
      <c r="J8" s="93" t="str">
        <f t="shared" si="1"/>
        <v>Kolenda Zofia</v>
      </c>
      <c r="K8" s="80">
        <f>LARGE($E$2:$E$241,7)</f>
        <v>40.000509999999998</v>
      </c>
      <c r="L8" s="72">
        <f t="shared" si="2"/>
        <v>51</v>
      </c>
      <c r="M8" s="93" t="str">
        <f t="shared" si="3"/>
        <v>SP Podkowa Leśna</v>
      </c>
      <c r="N8" s="39">
        <v>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2:26" ht="17.25" thickTop="1" thickBot="1">
      <c r="B9" t="str">
        <f>wyniki!B16</f>
        <v>Dasiewicz Barbara</v>
      </c>
      <c r="C9" s="19">
        <f>wyniki!E16</f>
        <v>31</v>
      </c>
      <c r="D9" s="18">
        <v>8.0000000000000007E-5</v>
      </c>
      <c r="E9" s="19">
        <f t="shared" si="0"/>
        <v>31.000080000000001</v>
      </c>
      <c r="F9" t="str">
        <f>wyniki!$A$14</f>
        <v>SP204 Warszawa</v>
      </c>
      <c r="J9" s="93" t="str">
        <f t="shared" si="1"/>
        <v>Zarzycka Helena</v>
      </c>
      <c r="K9" s="80">
        <f>LARGE($E$2:$E$241,8)</f>
        <v>40.000120000000003</v>
      </c>
      <c r="L9" s="72">
        <f t="shared" si="2"/>
        <v>12</v>
      </c>
      <c r="M9" s="93" t="str">
        <f t="shared" si="3"/>
        <v>SP204 Warszawa</v>
      </c>
      <c r="N9" s="39">
        <v>8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2:26" ht="17.25" thickTop="1" thickBot="1">
      <c r="B10" t="str">
        <f>wyniki!B17</f>
        <v>Kowalska Antonina</v>
      </c>
      <c r="C10" s="19">
        <f>wyniki!E17</f>
        <v>30.5</v>
      </c>
      <c r="D10" s="18">
        <v>9.0000000000000006E-5</v>
      </c>
      <c r="E10" s="19">
        <f t="shared" si="0"/>
        <v>30.50009</v>
      </c>
      <c r="F10" t="str">
        <f>wyniki!$A$14</f>
        <v>SP204 Warszawa</v>
      </c>
      <c r="J10" s="93" t="str">
        <f t="shared" si="1"/>
        <v>Macutkiewicz Wiktoria</v>
      </c>
      <c r="K10" s="80">
        <f>LARGE($E$2:$E$241,9)</f>
        <v>39.500529999999998</v>
      </c>
      <c r="L10" s="72">
        <f t="shared" si="2"/>
        <v>53</v>
      </c>
      <c r="M10" s="93" t="str">
        <f t="shared" si="3"/>
        <v>SP Podkowa Leśna</v>
      </c>
      <c r="N10" s="39">
        <v>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26" ht="17.25" thickTop="1" thickBot="1">
      <c r="B11" t="str">
        <f>wyniki!B18</f>
        <v>Kowalska Maja</v>
      </c>
      <c r="C11" s="19">
        <f>wyniki!E18</f>
        <v>42.5</v>
      </c>
      <c r="D11" s="18">
        <v>1E-4</v>
      </c>
      <c r="E11" s="19">
        <f t="shared" si="0"/>
        <v>42.500100000000003</v>
      </c>
      <c r="F11" t="str">
        <f>wyniki!$A$14</f>
        <v>SP204 Warszawa</v>
      </c>
      <c r="J11" s="93" t="str">
        <f t="shared" si="1"/>
        <v>Furman Alicja</v>
      </c>
      <c r="K11" s="80">
        <f>LARGE($E$2:$E$241,10)</f>
        <v>39.000250000000001</v>
      </c>
      <c r="L11" s="72">
        <f t="shared" si="2"/>
        <v>25</v>
      </c>
      <c r="M11" s="93" t="str">
        <f t="shared" si="3"/>
        <v>SP2 Chorzele</v>
      </c>
      <c r="N11" s="39">
        <v>10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2:26" ht="17.25" thickTop="1" thickBot="1">
      <c r="B12" t="str">
        <f>wyniki!B19</f>
        <v>Rogowska Maja</v>
      </c>
      <c r="C12" s="19">
        <f>wyniki!E19</f>
        <v>36</v>
      </c>
      <c r="D12" s="18">
        <v>1.1E-4</v>
      </c>
      <c r="E12" s="19">
        <f t="shared" si="0"/>
        <v>36.000109999999999</v>
      </c>
      <c r="F12" t="str">
        <f>wyniki!$A$14</f>
        <v>SP204 Warszawa</v>
      </c>
      <c r="J12" s="93" t="str">
        <f t="shared" si="1"/>
        <v>Krutkowska Amelia</v>
      </c>
      <c r="K12" s="80">
        <f>LARGE($E$2:$E$241,11)</f>
        <v>38.500520000000002</v>
      </c>
      <c r="L12" s="72">
        <f t="shared" si="2"/>
        <v>52</v>
      </c>
      <c r="M12" s="93" t="str">
        <f t="shared" si="3"/>
        <v>SP Podkowa Leśna</v>
      </c>
      <c r="N12" s="39">
        <v>11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2:26" ht="17.25" thickTop="1" thickBot="1">
      <c r="B13" t="str">
        <f>wyniki!B20</f>
        <v>Zarzycka Helena</v>
      </c>
      <c r="C13" s="19">
        <f>wyniki!E20</f>
        <v>40</v>
      </c>
      <c r="D13" s="18">
        <v>1.2E-4</v>
      </c>
      <c r="E13" s="19">
        <f t="shared" si="0"/>
        <v>40.000120000000003</v>
      </c>
      <c r="F13" t="str">
        <f>wyniki!$A$14</f>
        <v>SP204 Warszawa</v>
      </c>
      <c r="J13" s="93" t="str">
        <f t="shared" si="1"/>
        <v>Gryz Amelia</v>
      </c>
      <c r="K13" s="80">
        <f>LARGE($E$2:$E$241,12)</f>
        <v>37.500689999999999</v>
      </c>
      <c r="L13" s="72">
        <f t="shared" si="2"/>
        <v>69</v>
      </c>
      <c r="M13" s="93" t="str">
        <f t="shared" si="3"/>
        <v>ZSP Jedlińsk</v>
      </c>
      <c r="N13" s="39">
        <v>12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6" ht="17.25" thickTop="1" thickBot="1">
      <c r="B14" t="str">
        <f>wyniki!B22</f>
        <v>Gawor Maria</v>
      </c>
      <c r="C14" s="19">
        <f>wyniki!E22</f>
        <v>24.5</v>
      </c>
      <c r="D14" s="18">
        <v>1.2999999999999999E-4</v>
      </c>
      <c r="E14" s="19">
        <f t="shared" si="0"/>
        <v>24.500129999999999</v>
      </c>
      <c r="F14" t="str">
        <f>wyniki!$A$21</f>
        <v>PSP 2 Radom</v>
      </c>
      <c r="J14" s="93" t="str">
        <f t="shared" si="1"/>
        <v>Rytel Emilia</v>
      </c>
      <c r="K14" s="80">
        <f>LARGE($E$2:$E$241,13)</f>
        <v>37.000480000000003</v>
      </c>
      <c r="L14" s="72">
        <f t="shared" si="2"/>
        <v>48</v>
      </c>
      <c r="M14" s="93" t="str">
        <f t="shared" si="3"/>
        <v>SP11 Siedlce</v>
      </c>
      <c r="N14" s="39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17.25" thickTop="1" thickBot="1">
      <c r="B15" t="str">
        <f>wyniki!B23</f>
        <v>Jakubowska Liliana</v>
      </c>
      <c r="C15" s="19">
        <f>wyniki!E23</f>
        <v>34</v>
      </c>
      <c r="D15" s="18">
        <v>1.3999999999999999E-4</v>
      </c>
      <c r="E15" s="19">
        <f t="shared" si="0"/>
        <v>34.000140000000002</v>
      </c>
      <c r="F15" t="str">
        <f>wyniki!$A$21</f>
        <v>PSP 2 Radom</v>
      </c>
      <c r="J15" s="93" t="str">
        <f t="shared" si="1"/>
        <v>Mikołajewska Iga</v>
      </c>
      <c r="K15" s="80">
        <f>LARGE($E$2:$E$241,14)</f>
        <v>36.000390000000003</v>
      </c>
      <c r="L15" s="72">
        <f t="shared" si="2"/>
        <v>39</v>
      </c>
      <c r="M15" s="93" t="str">
        <f t="shared" si="3"/>
        <v>SP2 Węgrów</v>
      </c>
      <c r="N15" s="39">
        <v>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2:26" ht="17.25" thickTop="1" thickBot="1">
      <c r="B16" t="str">
        <f>wyniki!B24</f>
        <v>Kąca Alicja</v>
      </c>
      <c r="C16" s="19">
        <f>wyniki!E24</f>
        <v>9</v>
      </c>
      <c r="D16" s="18">
        <v>1.4999999999999999E-4</v>
      </c>
      <c r="E16" s="19">
        <f t="shared" si="0"/>
        <v>9.0001499999999997</v>
      </c>
      <c r="F16" t="str">
        <f>wyniki!$A$21</f>
        <v>PSP 2 Radom</v>
      </c>
      <c r="J16" s="93" t="str">
        <f t="shared" si="1"/>
        <v>Rogowska Maja</v>
      </c>
      <c r="K16" s="80">
        <f>LARGE($E$2:$E$241,15)</f>
        <v>36.000109999999999</v>
      </c>
      <c r="L16" s="72">
        <f t="shared" si="2"/>
        <v>11</v>
      </c>
      <c r="M16" s="93" t="str">
        <f t="shared" si="3"/>
        <v>SP204 Warszawa</v>
      </c>
      <c r="N16" s="39">
        <v>15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ht="17.25" thickTop="1" thickBot="1">
      <c r="B17" t="str">
        <f>wyniki!B25</f>
        <v>Maj Amelia</v>
      </c>
      <c r="C17" s="19">
        <f>wyniki!E25</f>
        <v>15</v>
      </c>
      <c r="D17" s="18">
        <v>1.6000000000000001E-4</v>
      </c>
      <c r="E17" s="19">
        <f t="shared" si="0"/>
        <v>15.000159999999999</v>
      </c>
      <c r="F17" t="str">
        <f>wyniki!$A$21</f>
        <v>PSP 2 Radom</v>
      </c>
      <c r="J17" s="93" t="str">
        <f t="shared" si="1"/>
        <v>Chromińska Maja</v>
      </c>
      <c r="K17" s="80">
        <f>LARGE($E$2:$E$241,16)</f>
        <v>35.500430000000001</v>
      </c>
      <c r="L17" s="72">
        <f t="shared" si="2"/>
        <v>43</v>
      </c>
      <c r="M17" s="93" t="str">
        <f t="shared" si="3"/>
        <v>SP11 Siedlce</v>
      </c>
      <c r="N17" s="39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7.25" thickTop="1" thickBot="1">
      <c r="B18" t="str">
        <f>wyniki!B26</f>
        <v>Piotrowska Iga</v>
      </c>
      <c r="C18" s="19">
        <f>wyniki!E26</f>
        <v>19.5</v>
      </c>
      <c r="D18" s="18">
        <v>1.7000000000000001E-4</v>
      </c>
      <c r="E18" s="19">
        <f t="shared" si="0"/>
        <v>19.500170000000001</v>
      </c>
      <c r="F18" t="str">
        <f>wyniki!$A$21</f>
        <v>PSP 2 Radom</v>
      </c>
      <c r="J18" s="93" t="str">
        <f t="shared" si="1"/>
        <v>Tryzno Alicja</v>
      </c>
      <c r="K18" s="80">
        <f>LARGE($E$2:$E$241,17)</f>
        <v>35.000540000000001</v>
      </c>
      <c r="L18" s="72">
        <f t="shared" si="2"/>
        <v>54</v>
      </c>
      <c r="M18" s="93" t="str">
        <f t="shared" si="3"/>
        <v>SP Podkowa Leśna</v>
      </c>
      <c r="N18" s="39">
        <v>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7.25" thickTop="1" thickBot="1">
      <c r="B19" t="str">
        <f>wyniki!B27</f>
        <v>Tyczyńska Lena</v>
      </c>
      <c r="C19" s="19">
        <f>wyniki!E27</f>
        <v>20</v>
      </c>
      <c r="D19" s="18">
        <v>1.8000000000000001E-4</v>
      </c>
      <c r="E19" s="19">
        <f t="shared" si="0"/>
        <v>20.00018</v>
      </c>
      <c r="F19" t="str">
        <f>wyniki!$A$21</f>
        <v>PSP 2 Radom</v>
      </c>
      <c r="J19" s="93" t="str">
        <f t="shared" si="1"/>
        <v>Wojsz Paulina</v>
      </c>
      <c r="K19" s="80">
        <f>LARGE($E$2:$E$241,18)</f>
        <v>35.000230000000002</v>
      </c>
      <c r="L19" s="72">
        <f t="shared" si="2"/>
        <v>23</v>
      </c>
      <c r="M19" s="93" t="str">
        <f t="shared" si="3"/>
        <v>SP2 Ostrów Maz.</v>
      </c>
      <c r="N19" s="39">
        <v>18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17.25" thickTop="1" thickBot="1">
      <c r="B20" t="str">
        <f>wyniki!B29</f>
        <v>Burkiewicz Amelia</v>
      </c>
      <c r="C20" s="19">
        <f>wyniki!E29</f>
        <v>19.5</v>
      </c>
      <c r="D20" s="18">
        <v>1.9000000000000001E-4</v>
      </c>
      <c r="E20" s="19">
        <f t="shared" si="0"/>
        <v>19.50019</v>
      </c>
      <c r="F20" t="str">
        <f>wyniki!$A$28</f>
        <v>SP2 Ostrów Maz.</v>
      </c>
      <c r="J20" s="93" t="str">
        <f t="shared" si="1"/>
        <v>Jakubowska Liliana</v>
      </c>
      <c r="K20" s="80">
        <f>LARGE($E$2:$E$241,19)</f>
        <v>34.000140000000002</v>
      </c>
      <c r="L20" s="72">
        <f t="shared" si="2"/>
        <v>14</v>
      </c>
      <c r="M20" s="93" t="str">
        <f t="shared" si="3"/>
        <v>PSP 2 Radom</v>
      </c>
      <c r="N20" s="39">
        <v>19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7.25" thickTop="1" thickBot="1">
      <c r="B21" t="str">
        <f>wyniki!B30</f>
        <v>Kołakowska Gabriela</v>
      </c>
      <c r="C21" s="19">
        <f>wyniki!E30</f>
        <v>15</v>
      </c>
      <c r="D21" s="18">
        <v>2.0000000000000001E-4</v>
      </c>
      <c r="E21" s="19">
        <f t="shared" si="0"/>
        <v>15.0002</v>
      </c>
      <c r="F21" t="str">
        <f>wyniki!$A$28</f>
        <v>SP2 Ostrów Maz.</v>
      </c>
      <c r="J21" s="93" t="str">
        <f t="shared" si="1"/>
        <v>Kmieć Zuzanna</v>
      </c>
      <c r="K21" s="80">
        <f>LARGE($E$2:$E$241,20)</f>
        <v>33.000419999999998</v>
      </c>
      <c r="L21" s="72">
        <f t="shared" si="2"/>
        <v>42</v>
      </c>
      <c r="M21" s="93" t="str">
        <f t="shared" si="3"/>
        <v>SP2 Węgrów</v>
      </c>
      <c r="N21" s="39">
        <v>20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17.25" thickTop="1" thickBot="1">
      <c r="B22" t="str">
        <f>wyniki!B31</f>
        <v>Niemyjska Aleksandra</v>
      </c>
      <c r="C22" s="19">
        <f>wyniki!E31</f>
        <v>29</v>
      </c>
      <c r="D22" s="18">
        <v>2.1000000000000001E-4</v>
      </c>
      <c r="E22" s="19">
        <f t="shared" si="0"/>
        <v>29.000209999999999</v>
      </c>
      <c r="F22" t="str">
        <f>wyniki!$A$28</f>
        <v>SP2 Ostrów Maz.</v>
      </c>
      <c r="J22" s="93" t="str">
        <f t="shared" si="1"/>
        <v>Wąsożnik Zofia</v>
      </c>
      <c r="K22" s="80">
        <f>LARGE($E$2:$E$241,21)</f>
        <v>32.500399999999999</v>
      </c>
      <c r="L22" s="72">
        <f t="shared" si="2"/>
        <v>40</v>
      </c>
      <c r="M22" s="93" t="str">
        <f t="shared" si="3"/>
        <v>SP2 Węgrów</v>
      </c>
      <c r="N22" s="39">
        <v>21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17.25" thickTop="1" thickBot="1">
      <c r="B23" t="str">
        <f>wyniki!B32</f>
        <v>Paradukha Viktoria</v>
      </c>
      <c r="C23" s="19">
        <f>wyniki!E32</f>
        <v>20</v>
      </c>
      <c r="D23" s="18">
        <v>2.2000000000000001E-4</v>
      </c>
      <c r="E23" s="19">
        <f t="shared" si="0"/>
        <v>20.000219999999999</v>
      </c>
      <c r="F23" t="str">
        <f>wyniki!$A$28</f>
        <v>SP2 Ostrów Maz.</v>
      </c>
      <c r="J23" s="93" t="str">
        <f t="shared" si="1"/>
        <v>Wrzeszcz Anna</v>
      </c>
      <c r="K23" s="80">
        <f>LARGE($E$2:$E$241,22)</f>
        <v>32.000410000000002</v>
      </c>
      <c r="L23" s="72">
        <f t="shared" si="2"/>
        <v>41</v>
      </c>
      <c r="M23" s="93" t="str">
        <f t="shared" si="3"/>
        <v>SP2 Węgrów</v>
      </c>
      <c r="N23" s="39">
        <v>22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7.25" thickTop="1" thickBot="1">
      <c r="B24" t="str">
        <f>wyniki!B33</f>
        <v>Wojsz Paulina</v>
      </c>
      <c r="C24" s="19">
        <f>wyniki!E33</f>
        <v>35</v>
      </c>
      <c r="D24" s="18">
        <v>2.3000000000000001E-4</v>
      </c>
      <c r="E24" s="19">
        <f t="shared" si="0"/>
        <v>35.000230000000002</v>
      </c>
      <c r="F24" t="str">
        <f>wyniki!$A$28</f>
        <v>SP2 Ostrów Maz.</v>
      </c>
      <c r="J24" s="93" t="str">
        <f t="shared" si="1"/>
        <v>Grabowska Maja</v>
      </c>
      <c r="K24" s="80">
        <f>LARGE($E$2:$E$241,23)</f>
        <v>32.000259999999997</v>
      </c>
      <c r="L24" s="72">
        <f t="shared" si="2"/>
        <v>26</v>
      </c>
      <c r="M24" s="93" t="str">
        <f t="shared" si="3"/>
        <v>SP2 Chorzele</v>
      </c>
      <c r="N24" s="39">
        <v>23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7.25" thickTop="1" thickBot="1">
      <c r="B25" t="str">
        <f>wyniki!B34</f>
        <v>Radgowska Maja</v>
      </c>
      <c r="C25" s="19">
        <f>wyniki!E34</f>
        <v>22</v>
      </c>
      <c r="D25" s="18">
        <v>2.4000000000000001E-4</v>
      </c>
      <c r="E25" s="19">
        <f t="shared" si="0"/>
        <v>22.000240000000002</v>
      </c>
      <c r="F25" t="str">
        <f>wyniki!$A$28</f>
        <v>SP2 Ostrów Maz.</v>
      </c>
      <c r="J25" s="93" t="str">
        <f t="shared" si="1"/>
        <v>Zabadała Aleksandra</v>
      </c>
      <c r="K25" s="80">
        <f>LARGE($E$2:$E$241,24)</f>
        <v>31.50037</v>
      </c>
      <c r="L25" s="72">
        <f t="shared" si="2"/>
        <v>37</v>
      </c>
      <c r="M25" s="93" t="str">
        <f t="shared" si="3"/>
        <v>SP2 Węgrów</v>
      </c>
      <c r="N25" s="39"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7.25" thickTop="1" thickBot="1">
      <c r="B26" t="str">
        <f>wyniki!B36</f>
        <v>Furman Alicja</v>
      </c>
      <c r="C26" s="19">
        <f>wyniki!E36</f>
        <v>39</v>
      </c>
      <c r="D26" s="18">
        <v>2.5000000000000001E-4</v>
      </c>
      <c r="E26" s="19">
        <f t="shared" si="0"/>
        <v>39.000250000000001</v>
      </c>
      <c r="F26" t="str">
        <f>wyniki!$A$35</f>
        <v>SP2 Chorzele</v>
      </c>
      <c r="J26" s="93" t="str">
        <f t="shared" si="1"/>
        <v>Pietruszka Aleksandra</v>
      </c>
      <c r="K26" s="80">
        <f>LARGE($E$2:$E$241,25)</f>
        <v>31.500039999999998</v>
      </c>
      <c r="L26" s="72">
        <f t="shared" si="2"/>
        <v>4</v>
      </c>
      <c r="M26" s="93" t="str">
        <f t="shared" si="3"/>
        <v>SP14 Warszawa</v>
      </c>
      <c r="N26" s="39">
        <v>25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7.25" thickTop="1" thickBot="1">
      <c r="B27" t="str">
        <f>wyniki!B37</f>
        <v>Grabowska Maja</v>
      </c>
      <c r="C27" s="19">
        <f>wyniki!E37</f>
        <v>32</v>
      </c>
      <c r="D27" s="18">
        <v>2.5999999999999998E-4</v>
      </c>
      <c r="E27" s="19">
        <f t="shared" si="0"/>
        <v>32.000259999999997</v>
      </c>
      <c r="F27" t="str">
        <f>wyniki!$A$35</f>
        <v>SP2 Chorzele</v>
      </c>
      <c r="J27" s="93" t="str">
        <f t="shared" si="1"/>
        <v>Hajdenrach Antonina</v>
      </c>
      <c r="K27" s="80">
        <f>LARGE($E$2:$E$241,26)</f>
        <v>31.000499999999999</v>
      </c>
      <c r="L27" s="72">
        <f t="shared" si="2"/>
        <v>50</v>
      </c>
      <c r="M27" s="93" t="str">
        <f t="shared" si="3"/>
        <v>SP Podkowa Leśna</v>
      </c>
      <c r="N27" s="39">
        <v>26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7.25" thickTop="1" thickBot="1">
      <c r="B28" t="str">
        <f>wyniki!B38</f>
        <v>Lubowiecka Nadia</v>
      </c>
      <c r="C28" s="19">
        <f>wyniki!E38</f>
        <v>28.5</v>
      </c>
      <c r="D28" s="18">
        <v>2.7E-4</v>
      </c>
      <c r="E28" s="19">
        <f t="shared" si="0"/>
        <v>28.50027</v>
      </c>
      <c r="F28" t="str">
        <f>wyniki!$A$35</f>
        <v>SP2 Chorzele</v>
      </c>
      <c r="J28" s="93" t="str">
        <f t="shared" si="1"/>
        <v>Dasiewicz Barbara</v>
      </c>
      <c r="K28" s="80">
        <f>LARGE($E$2:$E$241,27)</f>
        <v>31.000080000000001</v>
      </c>
      <c r="L28" s="72">
        <f t="shared" si="2"/>
        <v>8</v>
      </c>
      <c r="M28" s="93" t="str">
        <f t="shared" si="3"/>
        <v>SP204 Warszawa</v>
      </c>
      <c r="N28" s="39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7.25" thickTop="1" thickBot="1">
      <c r="B29" t="str">
        <f>wyniki!B39</f>
        <v>Szymańska Joanna</v>
      </c>
      <c r="C29" s="19">
        <f>wyniki!E39</f>
        <v>26</v>
      </c>
      <c r="D29" s="18">
        <v>2.7999999999999998E-4</v>
      </c>
      <c r="E29" s="19">
        <f t="shared" si="0"/>
        <v>26.00028</v>
      </c>
      <c r="F29" t="str">
        <f>wyniki!$A$35</f>
        <v>SP2 Chorzele</v>
      </c>
      <c r="J29" s="93" t="str">
        <f t="shared" si="1"/>
        <v>Szablewska Lena</v>
      </c>
      <c r="K29" s="80">
        <f>LARGE($E$2:$E$241,28)</f>
        <v>30.500599999999999</v>
      </c>
      <c r="L29" s="72">
        <f t="shared" si="2"/>
        <v>60</v>
      </c>
      <c r="M29" s="93" t="str">
        <f t="shared" si="3"/>
        <v>ZSP Lesznowola</v>
      </c>
      <c r="N29" s="39">
        <v>28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7.25" thickTop="1" thickBot="1">
      <c r="B30" t="str">
        <f>wyniki!B40</f>
        <v>Tłoczkowska Marta</v>
      </c>
      <c r="C30" s="19">
        <f>wyniki!E40</f>
        <v>30</v>
      </c>
      <c r="D30" s="18">
        <v>2.9E-4</v>
      </c>
      <c r="E30" s="19">
        <f t="shared" si="0"/>
        <v>30.00029</v>
      </c>
      <c r="F30" t="str">
        <f>wyniki!$A$35</f>
        <v>SP2 Chorzele</v>
      </c>
      <c r="J30" s="93" t="str">
        <f t="shared" si="1"/>
        <v>Kowalska Antonina</v>
      </c>
      <c r="K30" s="80">
        <f>LARGE($E$2:$E$241,29)</f>
        <v>30.50009</v>
      </c>
      <c r="L30" s="72">
        <f t="shared" si="2"/>
        <v>9</v>
      </c>
      <c r="M30" s="93" t="str">
        <f t="shared" si="3"/>
        <v>SP204 Warszawa</v>
      </c>
      <c r="N30" s="39">
        <v>29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7.25" thickTop="1" thickBot="1">
      <c r="B31" t="str">
        <f>wyniki!B41</f>
        <v>Woźniak Maja</v>
      </c>
      <c r="C31" s="19">
        <f>wyniki!E41</f>
        <v>23</v>
      </c>
      <c r="D31" s="18">
        <v>2.9999999999999997E-4</v>
      </c>
      <c r="E31" s="19">
        <f t="shared" si="0"/>
        <v>23.000299999999999</v>
      </c>
      <c r="F31" t="str">
        <f>wyniki!$A$35</f>
        <v>SP2 Chorzele</v>
      </c>
      <c r="J31" s="93" t="str">
        <f t="shared" si="1"/>
        <v>Tłoczkowska Marta</v>
      </c>
      <c r="K31" s="80">
        <f>LARGE($E$2:$E$241,30)</f>
        <v>30.00029</v>
      </c>
      <c r="L31" s="72">
        <f t="shared" si="2"/>
        <v>29</v>
      </c>
      <c r="M31" s="93" t="str">
        <f t="shared" si="3"/>
        <v>SP2 Chorzele</v>
      </c>
      <c r="N31" s="39">
        <v>30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ht="17.25" thickTop="1" thickBot="1">
      <c r="B32" t="str">
        <f>wyniki!B43</f>
        <v>Borys Paulina</v>
      </c>
      <c r="C32" s="19">
        <f>wyniki!E43</f>
        <v>29.5</v>
      </c>
      <c r="D32" s="18">
        <v>3.1E-4</v>
      </c>
      <c r="E32" s="19">
        <f t="shared" si="0"/>
        <v>29.500309999999999</v>
      </c>
      <c r="F32" t="str">
        <f>wyniki!$A$42</f>
        <v>SP Bieniewice</v>
      </c>
      <c r="J32" s="93" t="str">
        <f t="shared" si="1"/>
        <v>Borys Paulina</v>
      </c>
      <c r="K32" s="80">
        <f>LARGE($E$2:$E$241,31)</f>
        <v>29.500309999999999</v>
      </c>
      <c r="L32" s="72">
        <f t="shared" si="2"/>
        <v>31</v>
      </c>
      <c r="M32" s="93" t="str">
        <f t="shared" si="3"/>
        <v>SP Bieniewice</v>
      </c>
      <c r="N32" s="39">
        <v>31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17.25" thickTop="1" thickBot="1">
      <c r="B33" t="str">
        <f>wyniki!B44</f>
        <v>Krzycka Joanna</v>
      </c>
      <c r="C33" s="19">
        <f>wyniki!E44</f>
        <v>19</v>
      </c>
      <c r="D33" s="18">
        <v>3.2000000000000003E-4</v>
      </c>
      <c r="E33" s="19">
        <f t="shared" si="0"/>
        <v>19.000319999999999</v>
      </c>
      <c r="F33" t="str">
        <f>wyniki!$A$42</f>
        <v>SP Bieniewice</v>
      </c>
      <c r="J33" s="93" t="str">
        <f t="shared" si="1"/>
        <v>Stańczyk Maja</v>
      </c>
      <c r="K33" s="80">
        <f>LARGE($E$2:$E$241,32)</f>
        <v>29.500050000000002</v>
      </c>
      <c r="L33" s="72">
        <f t="shared" si="2"/>
        <v>5</v>
      </c>
      <c r="M33" s="93" t="str">
        <f t="shared" si="3"/>
        <v>SP14 Warszawa</v>
      </c>
      <c r="N33" s="39">
        <v>32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ht="17.25" thickTop="1" thickBot="1">
      <c r="B34" t="str">
        <f>wyniki!B45</f>
        <v>Obrębska Maja</v>
      </c>
      <c r="C34" s="19">
        <f>wyniki!E45</f>
        <v>21</v>
      </c>
      <c r="D34" s="18">
        <v>3.3E-4</v>
      </c>
      <c r="E34" s="19">
        <f t="shared" si="0"/>
        <v>21.000330000000002</v>
      </c>
      <c r="F34" t="str">
        <f>wyniki!$A$42</f>
        <v>SP Bieniewice</v>
      </c>
      <c r="J34" s="93" t="str">
        <f t="shared" si="1"/>
        <v>Bąbiak Gabriela</v>
      </c>
      <c r="K34" s="80">
        <f>LARGE($E$2:$E$241,33)</f>
        <v>29.000489999999999</v>
      </c>
      <c r="L34" s="72">
        <f t="shared" si="2"/>
        <v>49</v>
      </c>
      <c r="M34" s="93" t="str">
        <f t="shared" si="3"/>
        <v>SP Podkowa Leśna</v>
      </c>
      <c r="N34" s="39">
        <v>33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ht="17.25" thickTop="1" thickBot="1">
      <c r="B35" t="str">
        <f>wyniki!B46</f>
        <v>Wachowiak Maja</v>
      </c>
      <c r="C35" s="19">
        <f>wyniki!E46</f>
        <v>24</v>
      </c>
      <c r="D35" s="18">
        <v>3.4000000000000002E-4</v>
      </c>
      <c r="E35" s="19">
        <f t="shared" si="0"/>
        <v>24.000340000000001</v>
      </c>
      <c r="F35" t="str">
        <f>wyniki!$A$42</f>
        <v>SP Bieniewice</v>
      </c>
      <c r="J35" s="93" t="str">
        <f t="shared" si="1"/>
        <v>Niemyjska Aleksandra</v>
      </c>
      <c r="K35" s="80">
        <f>LARGE($E$2:$E$241,34)</f>
        <v>29.000209999999999</v>
      </c>
      <c r="L35" s="72">
        <f t="shared" si="2"/>
        <v>21</v>
      </c>
      <c r="M35" s="93" t="str">
        <f t="shared" si="3"/>
        <v>SP2 Ostrów Maz.</v>
      </c>
      <c r="N35" s="39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6" ht="17.25" thickTop="1" thickBot="1">
      <c r="B36" t="str">
        <f>wyniki!B47</f>
        <v>Wolska Julia</v>
      </c>
      <c r="C36" s="19">
        <f>wyniki!E47</f>
        <v>22</v>
      </c>
      <c r="D36" s="18">
        <v>3.5E-4</v>
      </c>
      <c r="E36" s="19">
        <f t="shared" si="0"/>
        <v>22.000350000000001</v>
      </c>
      <c r="F36" t="str">
        <f>wyniki!$A$42</f>
        <v>SP Bieniewice</v>
      </c>
      <c r="J36" s="93" t="str">
        <f t="shared" si="1"/>
        <v>Brzezińska Kinga</v>
      </c>
      <c r="K36" s="80">
        <f>LARGE($E$2:$E$241,35)</f>
        <v>28.50055</v>
      </c>
      <c r="L36" s="72">
        <f t="shared" si="2"/>
        <v>55</v>
      </c>
      <c r="M36" s="93" t="str">
        <f t="shared" si="3"/>
        <v>ZSP Lesznowola</v>
      </c>
      <c r="N36" s="39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ht="17.25" thickTop="1" thickBot="1">
      <c r="B37" t="str">
        <f>wyniki!B48</f>
        <v>Zasowska Zofia</v>
      </c>
      <c r="C37" s="19">
        <f>wyniki!E48</f>
        <v>24.5</v>
      </c>
      <c r="D37" s="18">
        <v>3.6000000000000002E-4</v>
      </c>
      <c r="E37" s="19">
        <f t="shared" si="0"/>
        <v>24.500360000000001</v>
      </c>
      <c r="F37" t="str">
        <f>wyniki!$A$42</f>
        <v>SP Bieniewice</v>
      </c>
      <c r="J37" s="93" t="str">
        <f t="shared" si="1"/>
        <v>Lubowiecka Nadia</v>
      </c>
      <c r="K37" s="80">
        <f>LARGE($E$2:$E$241,36)</f>
        <v>28.50027</v>
      </c>
      <c r="L37" s="72">
        <f t="shared" si="2"/>
        <v>27</v>
      </c>
      <c r="M37" s="93" t="str">
        <f t="shared" si="3"/>
        <v>SP2 Chorzele</v>
      </c>
      <c r="N37" s="39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ht="17.25" thickTop="1" thickBot="1">
      <c r="B38" t="str">
        <f>wyniki!B50</f>
        <v>Zabadała Aleksandra</v>
      </c>
      <c r="C38" s="19">
        <f>wyniki!E50</f>
        <v>31.5</v>
      </c>
      <c r="D38" s="18">
        <v>3.6999999999999999E-4</v>
      </c>
      <c r="E38" s="19">
        <f t="shared" si="0"/>
        <v>31.50037</v>
      </c>
      <c r="F38" t="str">
        <f>wyniki!$A$49</f>
        <v>SP2 Węgrów</v>
      </c>
      <c r="J38" s="93" t="str">
        <f t="shared" si="1"/>
        <v>Walczak Łucja</v>
      </c>
      <c r="K38" s="80">
        <f>LARGE($E$2:$E$241,37)</f>
        <v>27.500699999999998</v>
      </c>
      <c r="L38" s="72">
        <f t="shared" si="2"/>
        <v>70</v>
      </c>
      <c r="M38" s="93" t="str">
        <f t="shared" si="3"/>
        <v>ZSP Jedlińsk</v>
      </c>
      <c r="N38" s="39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ht="17.25" thickTop="1" thickBot="1">
      <c r="B39" t="str">
        <f>wyniki!B51</f>
        <v>Jachowicz Roksana</v>
      </c>
      <c r="C39" s="19">
        <f>wyniki!E51</f>
        <v>44</v>
      </c>
      <c r="D39" s="18">
        <v>3.8000000000000002E-4</v>
      </c>
      <c r="E39" s="19">
        <f t="shared" si="0"/>
        <v>44.00038</v>
      </c>
      <c r="F39" t="str">
        <f>wyniki!$A$49</f>
        <v>SP2 Węgrów</v>
      </c>
      <c r="J39" s="93" t="str">
        <f t="shared" si="1"/>
        <v>Cisowska Lena</v>
      </c>
      <c r="K39" s="80">
        <f>LARGE($E$2:$E$241,38)</f>
        <v>27.500070000000001</v>
      </c>
      <c r="L39" s="72">
        <f t="shared" si="2"/>
        <v>7</v>
      </c>
      <c r="M39" s="93" t="str">
        <f t="shared" si="3"/>
        <v>SP204 Warszawa</v>
      </c>
      <c r="N39" s="39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ht="17.25" thickTop="1" thickBot="1">
      <c r="B40" t="str">
        <f>wyniki!B52</f>
        <v>Mikołajewska Iga</v>
      </c>
      <c r="C40" s="19">
        <f>wyniki!E52</f>
        <v>36</v>
      </c>
      <c r="D40" s="18">
        <v>3.8999999999999999E-4</v>
      </c>
      <c r="E40" s="19">
        <f t="shared" si="0"/>
        <v>36.000390000000003</v>
      </c>
      <c r="F40" t="str">
        <f>wyniki!$A$49</f>
        <v>SP2 Węgrów</v>
      </c>
      <c r="J40" s="93" t="str">
        <f t="shared" si="1"/>
        <v>Spiechowicz Lidia</v>
      </c>
      <c r="K40" s="80">
        <f>LARGE($E$2:$E$241,39)</f>
        <v>27.000640000000001</v>
      </c>
      <c r="L40" s="72">
        <f t="shared" si="2"/>
        <v>64</v>
      </c>
      <c r="M40" s="93" t="str">
        <f t="shared" si="3"/>
        <v>SP3 Piaseczno</v>
      </c>
      <c r="N40" s="39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ht="17.25" thickTop="1" thickBot="1">
      <c r="B41" t="str">
        <f>wyniki!B53</f>
        <v>Wąsożnik Zofia</v>
      </c>
      <c r="C41" s="19">
        <f>wyniki!E53</f>
        <v>32.5</v>
      </c>
      <c r="D41" s="18">
        <v>4.0000000000000002E-4</v>
      </c>
      <c r="E41" s="19">
        <f t="shared" si="0"/>
        <v>32.500399999999999</v>
      </c>
      <c r="F41" t="str">
        <f>wyniki!$A$49</f>
        <v>SP2 Węgrów</v>
      </c>
      <c r="J41" s="93" t="str">
        <f t="shared" si="1"/>
        <v>Dłużewska Julia</v>
      </c>
      <c r="K41" s="80">
        <f>LARGE($E$2:$E$241,40)</f>
        <v>27.000019999999999</v>
      </c>
      <c r="L41" s="72">
        <f t="shared" si="2"/>
        <v>2</v>
      </c>
      <c r="M41" s="93" t="str">
        <f t="shared" si="3"/>
        <v>SP14 Warszawa</v>
      </c>
      <c r="N41" s="39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ht="17.25" thickTop="1" thickBot="1">
      <c r="B42" t="str">
        <f>wyniki!B54</f>
        <v>Wrzeszcz Anna</v>
      </c>
      <c r="C42" s="19">
        <f>wyniki!E54</f>
        <v>32</v>
      </c>
      <c r="D42" s="18">
        <v>4.0999999999999999E-4</v>
      </c>
      <c r="E42" s="19">
        <f t="shared" si="0"/>
        <v>32.000410000000002</v>
      </c>
      <c r="F42" t="str">
        <f>wyniki!$A$49</f>
        <v>SP2 Węgrów</v>
      </c>
      <c r="J42" s="93" t="str">
        <f t="shared" si="1"/>
        <v>Bany Monika</v>
      </c>
      <c r="K42" s="80">
        <f>LARGE($E$2:$E$241,41)</f>
        <v>26.500610000000002</v>
      </c>
      <c r="L42" s="72">
        <f t="shared" si="2"/>
        <v>61</v>
      </c>
      <c r="M42" s="93" t="str">
        <f t="shared" si="3"/>
        <v>SP3 Piaseczno</v>
      </c>
      <c r="N42" s="39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ht="17.25" thickTop="1" thickBot="1">
      <c r="B43" t="str">
        <f>wyniki!B55</f>
        <v>Kmieć Zuzanna</v>
      </c>
      <c r="C43" s="19">
        <f>wyniki!E55</f>
        <v>33</v>
      </c>
      <c r="D43" s="18">
        <v>4.2000000000000002E-4</v>
      </c>
      <c r="E43" s="19">
        <f t="shared" si="0"/>
        <v>33.000419999999998</v>
      </c>
      <c r="F43" t="str">
        <f>wyniki!$A$49</f>
        <v>SP2 Węgrów</v>
      </c>
      <c r="J43" s="93" t="str">
        <f t="shared" si="1"/>
        <v>Żaczek Maja</v>
      </c>
      <c r="K43" s="80">
        <f>LARGE($E$2:$E$241,42)</f>
        <v>26.000710000000002</v>
      </c>
      <c r="L43" s="72">
        <f t="shared" si="2"/>
        <v>71</v>
      </c>
      <c r="M43" s="93" t="str">
        <f t="shared" si="3"/>
        <v>ZSP Jedlińsk</v>
      </c>
      <c r="N43" s="39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ht="17.25" thickTop="1" thickBot="1">
      <c r="B44" t="str">
        <f>wyniki!B57</f>
        <v>Chromińska Maja</v>
      </c>
      <c r="C44" s="19">
        <f>wyniki!E57</f>
        <v>35.5</v>
      </c>
      <c r="D44" s="18">
        <v>4.2999999999999999E-4</v>
      </c>
      <c r="E44" s="19">
        <f t="shared" si="0"/>
        <v>35.500430000000001</v>
      </c>
      <c r="F44" t="str">
        <f>wyniki!$A$56</f>
        <v>SP11 Siedlce</v>
      </c>
      <c r="J44" s="93" t="str">
        <f t="shared" si="1"/>
        <v>Szymańska Joanna</v>
      </c>
      <c r="K44" s="80">
        <f>LARGE($E$2:$E$241,43)</f>
        <v>26.00028</v>
      </c>
      <c r="L44" s="72">
        <f t="shared" si="2"/>
        <v>28</v>
      </c>
      <c r="M44" s="93" t="str">
        <f t="shared" si="3"/>
        <v>SP2 Chorzele</v>
      </c>
      <c r="N44" s="39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ht="17.25" thickTop="1" thickBot="1">
      <c r="B45" t="str">
        <f>wyniki!B58</f>
        <v>Fiuk Julia</v>
      </c>
      <c r="C45" s="19">
        <f>wyniki!E58</f>
        <v>46</v>
      </c>
      <c r="D45" s="18">
        <v>4.4000000000000002E-4</v>
      </c>
      <c r="E45" s="19">
        <f t="shared" si="0"/>
        <v>46.000439999999998</v>
      </c>
      <c r="F45" t="str">
        <f>wyniki!$A$56</f>
        <v>SP11 Siedlce</v>
      </c>
      <c r="J45" s="93" t="str">
        <f t="shared" si="1"/>
        <v>Dobrowolska Nikola</v>
      </c>
      <c r="K45" s="80">
        <f>LARGE($E$2:$E$241,44)</f>
        <v>25.500679999999999</v>
      </c>
      <c r="L45" s="72">
        <f t="shared" si="2"/>
        <v>68</v>
      </c>
      <c r="M45" s="93" t="str">
        <f t="shared" si="3"/>
        <v>ZSP Jedlińsk</v>
      </c>
      <c r="N45" s="39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ht="17.25" thickTop="1" thickBot="1">
      <c r="B46" t="str">
        <f>wyniki!B59</f>
        <v>Kowal Natalia</v>
      </c>
      <c r="C46" s="19">
        <f>wyniki!E59</f>
        <v>40.5</v>
      </c>
      <c r="D46" s="18">
        <v>4.4999999999999999E-4</v>
      </c>
      <c r="E46" s="19">
        <f t="shared" si="0"/>
        <v>40.500450000000001</v>
      </c>
      <c r="F46" t="str">
        <f>wyniki!$A$56</f>
        <v>SP11 Siedlce</v>
      </c>
      <c r="J46" s="93" t="str">
        <f t="shared" si="1"/>
        <v>Adamczyk Michalina</v>
      </c>
      <c r="K46" s="80">
        <f>LARGE($E$2:$E$241,45)</f>
        <v>25.50067</v>
      </c>
      <c r="L46" s="72">
        <f t="shared" si="2"/>
        <v>67</v>
      </c>
      <c r="M46" s="93" t="str">
        <f t="shared" si="3"/>
        <v>ZSP Jedlińsk</v>
      </c>
      <c r="N46" s="39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17.25" thickTop="1" thickBot="1">
      <c r="B47" t="str">
        <f>wyniki!B60</f>
        <v>Mościcka Gabriela</v>
      </c>
      <c r="C47" s="19">
        <f>wyniki!E60</f>
        <v>20.5</v>
      </c>
      <c r="D47" s="18">
        <v>4.6000000000000001E-4</v>
      </c>
      <c r="E47" s="19">
        <f t="shared" si="0"/>
        <v>20.50046</v>
      </c>
      <c r="F47" t="str">
        <f>wyniki!$A$56</f>
        <v>SP11 Siedlce</v>
      </c>
      <c r="J47" s="93" t="str">
        <f t="shared" si="1"/>
        <v>Mariańska Magdalena</v>
      </c>
      <c r="K47" s="80">
        <f>LARGE($E$2:$E$241,46)</f>
        <v>24.50057</v>
      </c>
      <c r="L47" s="72">
        <f t="shared" si="2"/>
        <v>57</v>
      </c>
      <c r="M47" s="93" t="str">
        <f t="shared" si="3"/>
        <v>ZSP Lesznowola</v>
      </c>
      <c r="N47" s="39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ht="17.25" thickTop="1" thickBot="1">
      <c r="B48" t="str">
        <f>wyniki!B61</f>
        <v>Niedziółka Weronika</v>
      </c>
      <c r="C48" s="19">
        <f>wyniki!E61</f>
        <v>43</v>
      </c>
      <c r="D48" s="18">
        <v>4.6999999999999999E-4</v>
      </c>
      <c r="E48" s="19">
        <f t="shared" si="0"/>
        <v>43.00047</v>
      </c>
      <c r="F48" t="str">
        <f>wyniki!$A$56</f>
        <v>SP11 Siedlce</v>
      </c>
      <c r="J48" s="93" t="str">
        <f t="shared" si="1"/>
        <v>Marcisz Anna</v>
      </c>
      <c r="K48" s="80">
        <f>LARGE($E$2:$E$241,47)</f>
        <v>24.50056</v>
      </c>
      <c r="L48" s="72">
        <f t="shared" si="2"/>
        <v>56</v>
      </c>
      <c r="M48" s="93" t="str">
        <f t="shared" si="3"/>
        <v>ZSP Lesznowola</v>
      </c>
      <c r="N48" s="39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ht="17.25" thickTop="1" thickBot="1">
      <c r="B49" t="str">
        <f>wyniki!B62</f>
        <v>Rytel Emilia</v>
      </c>
      <c r="C49" s="19">
        <f>wyniki!E62</f>
        <v>37</v>
      </c>
      <c r="D49" s="18">
        <v>4.8000000000000001E-4</v>
      </c>
      <c r="E49" s="19">
        <f t="shared" si="0"/>
        <v>37.000480000000003</v>
      </c>
      <c r="F49" t="str">
        <f>wyniki!$A$56</f>
        <v>SP11 Siedlce</v>
      </c>
      <c r="J49" s="93" t="str">
        <f t="shared" si="1"/>
        <v>Zasowska Zofia</v>
      </c>
      <c r="K49" s="80">
        <f>LARGE($E$2:$E$241,48)</f>
        <v>24.500360000000001</v>
      </c>
      <c r="L49" s="72">
        <f t="shared" si="2"/>
        <v>36</v>
      </c>
      <c r="M49" s="93" t="str">
        <f t="shared" si="3"/>
        <v>SP Bieniewice</v>
      </c>
      <c r="N49" s="39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ht="17.25" thickTop="1" thickBot="1">
      <c r="B50" t="str">
        <f>wyniki!B64</f>
        <v>Bąbiak Gabriela</v>
      </c>
      <c r="C50" s="19">
        <f>wyniki!E64</f>
        <v>29</v>
      </c>
      <c r="D50" s="18">
        <v>4.8999999999999998E-4</v>
      </c>
      <c r="E50" s="19">
        <f t="shared" si="0"/>
        <v>29.000489999999999</v>
      </c>
      <c r="F50" t="str">
        <f>wyniki!$A$63</f>
        <v>SP Podkowa Leśna</v>
      </c>
      <c r="J50" s="93" t="str">
        <f t="shared" si="1"/>
        <v>Gawor Maria</v>
      </c>
      <c r="K50" s="80">
        <f>LARGE($E$2:$E$241,49)</f>
        <v>24.500129999999999</v>
      </c>
      <c r="L50" s="72">
        <f t="shared" si="2"/>
        <v>13</v>
      </c>
      <c r="M50" s="93" t="str">
        <f t="shared" si="3"/>
        <v>PSP 2 Radom</v>
      </c>
      <c r="N50" s="39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17.25" thickTop="1" thickBot="1">
      <c r="B51" t="str">
        <f>wyniki!B65</f>
        <v>Hajdenrach Antonina</v>
      </c>
      <c r="C51" s="19">
        <f>wyniki!E65</f>
        <v>31</v>
      </c>
      <c r="D51" s="18">
        <v>5.0000000000000001E-4</v>
      </c>
      <c r="E51" s="19">
        <f t="shared" si="0"/>
        <v>31.000499999999999</v>
      </c>
      <c r="F51" t="str">
        <f>wyniki!$A$63</f>
        <v>SP Podkowa Leśna</v>
      </c>
      <c r="J51" s="93" t="str">
        <f t="shared" si="1"/>
        <v>Borysiuk Gaja</v>
      </c>
      <c r="K51" s="80">
        <f>LARGE($E$2:$E$241,50)</f>
        <v>24.000620000000001</v>
      </c>
      <c r="L51" s="72">
        <f t="shared" si="2"/>
        <v>62</v>
      </c>
      <c r="M51" s="93" t="str">
        <f t="shared" si="3"/>
        <v>SP3 Piaseczno</v>
      </c>
      <c r="N51" s="39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17.25" thickTop="1" thickBot="1">
      <c r="B52" t="str">
        <f>wyniki!B66</f>
        <v>Kolenda Zofia</v>
      </c>
      <c r="C52" s="19">
        <f>wyniki!E66</f>
        <v>40</v>
      </c>
      <c r="D52" s="18">
        <v>5.1000000000000004E-4</v>
      </c>
      <c r="E52" s="19">
        <f t="shared" si="0"/>
        <v>40.000509999999998</v>
      </c>
      <c r="F52" t="str">
        <f>wyniki!$A$63</f>
        <v>SP Podkowa Leśna</v>
      </c>
      <c r="J52" s="93" t="str">
        <f t="shared" si="1"/>
        <v>Pazio Zofia</v>
      </c>
      <c r="K52" s="80">
        <f>LARGE($E$2:$E$241,51)</f>
        <v>24.000579999999999</v>
      </c>
      <c r="L52" s="72">
        <f t="shared" si="2"/>
        <v>58</v>
      </c>
      <c r="M52" s="93" t="str">
        <f t="shared" si="3"/>
        <v>ZSP Lesznowola</v>
      </c>
      <c r="N52" s="39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ht="17.25" thickTop="1" thickBot="1">
      <c r="B53" t="str">
        <f>wyniki!B67</f>
        <v>Krutkowska Amelia</v>
      </c>
      <c r="C53" s="19">
        <f>wyniki!E67</f>
        <v>38.5</v>
      </c>
      <c r="D53" s="18">
        <v>5.1999999999999995E-4</v>
      </c>
      <c r="E53" s="19">
        <f t="shared" si="0"/>
        <v>38.500520000000002</v>
      </c>
      <c r="F53" t="str">
        <f>wyniki!$A$63</f>
        <v>SP Podkowa Leśna</v>
      </c>
      <c r="J53" s="93" t="str">
        <f t="shared" si="1"/>
        <v>Wachowiak Maja</v>
      </c>
      <c r="K53" s="80">
        <f>LARGE($E$2:$E$241,52)</f>
        <v>24.000340000000001</v>
      </c>
      <c r="L53" s="72">
        <f t="shared" si="2"/>
        <v>34</v>
      </c>
      <c r="M53" s="93" t="str">
        <f t="shared" si="3"/>
        <v>SP Bieniewice</v>
      </c>
      <c r="N53" s="39">
        <v>52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ht="17.25" thickTop="1" thickBot="1">
      <c r="B54" t="str">
        <f>wyniki!B68</f>
        <v>Macutkiewicz Wiktoria</v>
      </c>
      <c r="C54" s="19">
        <f>wyniki!E68</f>
        <v>39.5</v>
      </c>
      <c r="D54" s="18">
        <v>5.2999999999999998E-4</v>
      </c>
      <c r="E54" s="19">
        <f t="shared" si="0"/>
        <v>39.500529999999998</v>
      </c>
      <c r="F54" t="str">
        <f>wyniki!$A$63</f>
        <v>SP Podkowa Leśna</v>
      </c>
      <c r="J54" s="93" t="str">
        <f t="shared" si="1"/>
        <v>Wikalińska Maria</v>
      </c>
      <c r="K54" s="80">
        <f>LARGE($E$2:$E$241,53)</f>
        <v>23.500060000000001</v>
      </c>
      <c r="L54" s="72">
        <f t="shared" si="2"/>
        <v>6</v>
      </c>
      <c r="M54" s="93" t="str">
        <f t="shared" si="3"/>
        <v>SP14 Warszawa</v>
      </c>
      <c r="N54" s="39">
        <v>53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ht="17.25" thickTop="1" thickBot="1">
      <c r="B55" t="str">
        <f>wyniki!B69</f>
        <v>Tryzno Alicja</v>
      </c>
      <c r="C55" s="19">
        <f>wyniki!E69</f>
        <v>35</v>
      </c>
      <c r="D55" s="18">
        <v>5.4000000000000001E-4</v>
      </c>
      <c r="E55" s="19">
        <f t="shared" si="0"/>
        <v>35.000540000000001</v>
      </c>
      <c r="F55" t="str">
        <f>wyniki!$A$63</f>
        <v>SP Podkowa Leśna</v>
      </c>
      <c r="J55" s="93" t="str">
        <f t="shared" si="1"/>
        <v>Wilczyńska Maria</v>
      </c>
      <c r="K55" s="80">
        <f>LARGE($E$2:$E$241,54)</f>
        <v>23.00066</v>
      </c>
      <c r="L55" s="72">
        <f t="shared" si="2"/>
        <v>66</v>
      </c>
      <c r="M55" s="93" t="str">
        <f t="shared" si="3"/>
        <v>SP3 Piaseczno</v>
      </c>
      <c r="N55" s="39">
        <v>54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2:26" ht="17.25" thickTop="1" thickBot="1">
      <c r="B56" t="str">
        <f>wyniki!B71</f>
        <v>Brzezińska Kinga</v>
      </c>
      <c r="C56" s="19">
        <f>wyniki!E71</f>
        <v>28.5</v>
      </c>
      <c r="D56" s="18">
        <v>5.5000000000000003E-4</v>
      </c>
      <c r="E56" s="19">
        <f t="shared" si="0"/>
        <v>28.50055</v>
      </c>
      <c r="F56" t="str">
        <f>wyniki!$A$70</f>
        <v>ZSP Lesznowola</v>
      </c>
      <c r="J56" s="93" t="str">
        <f t="shared" si="1"/>
        <v>Przepiórka Julia</v>
      </c>
      <c r="K56" s="80">
        <f>LARGE($E$2:$E$241,55)</f>
        <v>23.000589999999999</v>
      </c>
      <c r="L56" s="72">
        <f t="shared" si="2"/>
        <v>59</v>
      </c>
      <c r="M56" s="93" t="str">
        <f t="shared" si="3"/>
        <v>ZSP Lesznowola</v>
      </c>
      <c r="N56" s="39">
        <v>55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2:26" ht="17.25" thickTop="1" thickBot="1">
      <c r="B57" t="str">
        <f>wyniki!B72</f>
        <v>Marcisz Anna</v>
      </c>
      <c r="C57" s="19">
        <f>wyniki!E72</f>
        <v>24.5</v>
      </c>
      <c r="D57" s="18">
        <v>5.5999999999999995E-4</v>
      </c>
      <c r="E57" s="19">
        <f t="shared" si="0"/>
        <v>24.50056</v>
      </c>
      <c r="F57" t="str">
        <f>wyniki!$A$70</f>
        <v>ZSP Lesznowola</v>
      </c>
      <c r="J57" s="93" t="str">
        <f t="shared" si="1"/>
        <v>Woźniak Maja</v>
      </c>
      <c r="K57" s="80">
        <f>LARGE($E$2:$E$241,56)</f>
        <v>23.000299999999999</v>
      </c>
      <c r="L57" s="72">
        <f t="shared" si="2"/>
        <v>30</v>
      </c>
      <c r="M57" s="93" t="str">
        <f t="shared" si="3"/>
        <v>SP2 Chorzele</v>
      </c>
      <c r="N57" s="39">
        <v>56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ht="17.25" thickTop="1" thickBot="1">
      <c r="B58" t="str">
        <f>wyniki!B73</f>
        <v>Mariańska Magdalena</v>
      </c>
      <c r="C58" s="19">
        <f>wyniki!E73</f>
        <v>24.5</v>
      </c>
      <c r="D58" s="18">
        <v>5.6999999999999998E-4</v>
      </c>
      <c r="E58" s="19">
        <f t="shared" si="0"/>
        <v>24.50057</v>
      </c>
      <c r="F58" t="str">
        <f>wyniki!$A$70</f>
        <v>ZSP Lesznowola</v>
      </c>
      <c r="J58" s="93" t="str">
        <f t="shared" si="1"/>
        <v>Żaczek Nikola</v>
      </c>
      <c r="K58" s="80">
        <f>LARGE($E$2:$E$241,57)</f>
        <v>22.000720000000001</v>
      </c>
      <c r="L58" s="72">
        <f t="shared" si="2"/>
        <v>72</v>
      </c>
      <c r="M58" s="93" t="str">
        <f t="shared" si="3"/>
        <v>ZSP Jedlińsk</v>
      </c>
      <c r="N58" s="39">
        <v>57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2:26" ht="17.25" thickTop="1" thickBot="1">
      <c r="B59" t="str">
        <f>wyniki!B74</f>
        <v>Pazio Zofia</v>
      </c>
      <c r="C59" s="19">
        <f>wyniki!E74</f>
        <v>24</v>
      </c>
      <c r="D59" s="18">
        <v>5.8E-4</v>
      </c>
      <c r="E59" s="19">
        <f t="shared" si="0"/>
        <v>24.000579999999999</v>
      </c>
      <c r="F59" t="str">
        <f>wyniki!$A$70</f>
        <v>ZSP Lesznowola</v>
      </c>
      <c r="J59" s="93" t="str">
        <f t="shared" si="1"/>
        <v>Sołtan Amelia</v>
      </c>
      <c r="K59" s="80">
        <f>LARGE($E$2:$E$241,58)</f>
        <v>22.000630000000001</v>
      </c>
      <c r="L59" s="72">
        <f t="shared" si="2"/>
        <v>63</v>
      </c>
      <c r="M59" s="93" t="str">
        <f t="shared" si="3"/>
        <v>SP3 Piaseczno</v>
      </c>
      <c r="N59" s="39">
        <v>58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2:26" ht="17.25" thickTop="1" thickBot="1">
      <c r="B60" t="str">
        <f>wyniki!B75</f>
        <v>Przepiórka Julia</v>
      </c>
      <c r="C60" s="19">
        <f>wyniki!E75</f>
        <v>23</v>
      </c>
      <c r="D60" s="18">
        <v>5.9000000000000003E-4</v>
      </c>
      <c r="E60" s="19">
        <f t="shared" si="0"/>
        <v>23.000589999999999</v>
      </c>
      <c r="F60" t="str">
        <f>wyniki!$A$70</f>
        <v>ZSP Lesznowola</v>
      </c>
      <c r="J60" s="93" t="str">
        <f t="shared" si="1"/>
        <v>Wolska Julia</v>
      </c>
      <c r="K60" s="80">
        <f>LARGE($E$2:$E$241,59)</f>
        <v>22.000350000000001</v>
      </c>
      <c r="L60" s="72">
        <f t="shared" si="2"/>
        <v>35</v>
      </c>
      <c r="M60" s="93" t="str">
        <f t="shared" si="3"/>
        <v>SP Bieniewice</v>
      </c>
      <c r="N60" s="39">
        <v>59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2:26" ht="17.25" thickTop="1" thickBot="1">
      <c r="B61" t="str">
        <f>wyniki!B76</f>
        <v>Szablewska Lena</v>
      </c>
      <c r="C61" s="19">
        <f>wyniki!E76</f>
        <v>30.5</v>
      </c>
      <c r="D61" s="18">
        <v>5.9999999999999995E-4</v>
      </c>
      <c r="E61" s="19">
        <f t="shared" si="0"/>
        <v>30.500599999999999</v>
      </c>
      <c r="F61" t="str">
        <f>wyniki!$A$70</f>
        <v>ZSP Lesznowola</v>
      </c>
      <c r="J61" s="93" t="str">
        <f t="shared" si="1"/>
        <v>Radgowska Maja</v>
      </c>
      <c r="K61" s="80">
        <f>LARGE($E$2:$E$241,60)</f>
        <v>22.000240000000002</v>
      </c>
      <c r="L61" s="72">
        <f t="shared" si="2"/>
        <v>24</v>
      </c>
      <c r="M61" s="93" t="str">
        <f t="shared" si="3"/>
        <v>SP2 Ostrów Maz.</v>
      </c>
      <c r="N61" s="39">
        <v>60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2:26" ht="17.25" thickTop="1" thickBot="1">
      <c r="B62" t="str">
        <f>wyniki!B78</f>
        <v>Bany Monika</v>
      </c>
      <c r="C62" s="19">
        <f>wyniki!E78</f>
        <v>26.5</v>
      </c>
      <c r="D62" s="18">
        <v>6.0999999999999997E-4</v>
      </c>
      <c r="E62" s="19">
        <f t="shared" si="0"/>
        <v>26.500610000000002</v>
      </c>
      <c r="F62" t="str">
        <f>wyniki!$A$77</f>
        <v>SP3 Piaseczno</v>
      </c>
      <c r="J62" s="93" t="str">
        <f t="shared" si="1"/>
        <v>Obrębska Maja</v>
      </c>
      <c r="K62" s="80">
        <f>LARGE($E$2:$E$241,61)</f>
        <v>21.000330000000002</v>
      </c>
      <c r="L62" s="72">
        <f t="shared" si="2"/>
        <v>33</v>
      </c>
      <c r="M62" s="93" t="str">
        <f t="shared" si="3"/>
        <v>SP Bieniewice</v>
      </c>
      <c r="N62" s="39">
        <v>61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2:26" ht="17.25" thickTop="1" thickBot="1">
      <c r="B63" t="str">
        <f>wyniki!B79</f>
        <v>Borysiuk Gaja</v>
      </c>
      <c r="C63" s="19">
        <f>wyniki!E79</f>
        <v>24</v>
      </c>
      <c r="D63" s="18">
        <v>6.2E-4</v>
      </c>
      <c r="E63" s="19">
        <f t="shared" si="0"/>
        <v>24.000620000000001</v>
      </c>
      <c r="F63" t="str">
        <f>wyniki!$A$77</f>
        <v>SP3 Piaseczno</v>
      </c>
      <c r="J63" s="93" t="str">
        <f t="shared" si="1"/>
        <v>Mościcka Gabriela</v>
      </c>
      <c r="K63" s="80">
        <f>LARGE($E$2:$E$241,62)</f>
        <v>20.50046</v>
      </c>
      <c r="L63" s="72">
        <f t="shared" si="2"/>
        <v>46</v>
      </c>
      <c r="M63" s="93" t="str">
        <f t="shared" si="3"/>
        <v>SP11 Siedlce</v>
      </c>
      <c r="N63" s="39">
        <v>62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2:26" ht="17.25" thickTop="1" thickBot="1">
      <c r="B64" t="str">
        <f>wyniki!B80</f>
        <v>Sołtan Amelia</v>
      </c>
      <c r="C64" s="19">
        <f>wyniki!E80</f>
        <v>22</v>
      </c>
      <c r="D64" s="18">
        <v>6.3000000000000003E-4</v>
      </c>
      <c r="E64" s="19">
        <f t="shared" si="0"/>
        <v>22.000630000000001</v>
      </c>
      <c r="F64" t="str">
        <f>wyniki!$A$77</f>
        <v>SP3 Piaseczno</v>
      </c>
      <c r="J64" s="93" t="str">
        <f t="shared" si="1"/>
        <v>Paradukha Viktoria</v>
      </c>
      <c r="K64" s="80">
        <f>LARGE($E$2:$E$241,63)</f>
        <v>20.000219999999999</v>
      </c>
      <c r="L64" s="72">
        <f t="shared" si="2"/>
        <v>22</v>
      </c>
      <c r="M64" s="93" t="str">
        <f t="shared" si="3"/>
        <v>SP2 Ostrów Maz.</v>
      </c>
      <c r="N64" s="39">
        <v>63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2:26" ht="17.25" thickTop="1" thickBot="1">
      <c r="B65" t="str">
        <f>wyniki!B81</f>
        <v>Spiechowicz Lidia</v>
      </c>
      <c r="C65" s="19">
        <f>wyniki!E81</f>
        <v>27</v>
      </c>
      <c r="D65" s="18">
        <v>6.4000000000000005E-4</v>
      </c>
      <c r="E65" s="19">
        <f t="shared" si="0"/>
        <v>27.000640000000001</v>
      </c>
      <c r="F65" t="str">
        <f>wyniki!$A$77</f>
        <v>SP3 Piaseczno</v>
      </c>
      <c r="J65" s="93" t="str">
        <f t="shared" si="1"/>
        <v>Tyczyńska Lena</v>
      </c>
      <c r="K65" s="80">
        <f>LARGE($E$2:$E$241,64)</f>
        <v>20.00018</v>
      </c>
      <c r="L65" s="72">
        <f t="shared" si="2"/>
        <v>18</v>
      </c>
      <c r="M65" s="93" t="str">
        <f t="shared" si="3"/>
        <v>PSP 2 Radom</v>
      </c>
      <c r="N65" s="39">
        <v>64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26" ht="17.25" thickTop="1" thickBot="1">
      <c r="B66" t="str">
        <f>wyniki!B82</f>
        <v>Szulc Amelia</v>
      </c>
      <c r="C66" s="19">
        <f>wyniki!E82</f>
        <v>13.5</v>
      </c>
      <c r="D66" s="18">
        <v>6.4999999999999997E-4</v>
      </c>
      <c r="E66" s="19">
        <f t="shared" si="0"/>
        <v>13.50065</v>
      </c>
      <c r="F66" t="str">
        <f>wyniki!$A$77</f>
        <v>SP3 Piaseczno</v>
      </c>
      <c r="J66" s="93" t="str">
        <f t="shared" si="1"/>
        <v>Burkiewicz Amelia</v>
      </c>
      <c r="K66" s="80">
        <f>LARGE($E$2:$E$241,65)</f>
        <v>19.50019</v>
      </c>
      <c r="L66" s="72">
        <f t="shared" si="2"/>
        <v>19</v>
      </c>
      <c r="M66" s="93" t="str">
        <f t="shared" si="3"/>
        <v>SP2 Ostrów Maz.</v>
      </c>
      <c r="N66" s="39">
        <v>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2:26" ht="17.25" thickTop="1" thickBot="1">
      <c r="B67" t="str">
        <f>wyniki!B83</f>
        <v>Wilczyńska Maria</v>
      </c>
      <c r="C67" s="19">
        <f>wyniki!E83</f>
        <v>23</v>
      </c>
      <c r="D67" s="18">
        <v>6.6E-4</v>
      </c>
      <c r="E67" s="19">
        <f t="shared" ref="E67:E130" si="4">C67+D67</f>
        <v>23.00066</v>
      </c>
      <c r="F67" t="str">
        <f>wyniki!$A$77</f>
        <v>SP3 Piaseczno</v>
      </c>
      <c r="J67" s="93" t="str">
        <f t="shared" ref="J67:J130" si="5">INDEX($B$2:$E$241,L67,1)</f>
        <v>Piotrowska Iga</v>
      </c>
      <c r="K67" s="80">
        <f>LARGE($E$2:$E$241,66)</f>
        <v>19.500170000000001</v>
      </c>
      <c r="L67" s="72">
        <f t="shared" ref="L67:L130" si="6">MATCH(K67,$E$2:$E$241,0)</f>
        <v>17</v>
      </c>
      <c r="M67" s="93" t="str">
        <f t="shared" ref="M67:M130" si="7">INDEX($E$2:$F$241,L67,2)</f>
        <v>PSP 2 Radom</v>
      </c>
      <c r="N67" s="39">
        <v>66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2:26" ht="17.25" thickTop="1" thickBot="1">
      <c r="B68" t="str">
        <f>wyniki!B85</f>
        <v>Adamczyk Michalina</v>
      </c>
      <c r="C68" s="19">
        <f>wyniki!E85</f>
        <v>25.5</v>
      </c>
      <c r="D68" s="18">
        <v>6.7000000000000002E-4</v>
      </c>
      <c r="E68" s="19">
        <f t="shared" si="4"/>
        <v>25.50067</v>
      </c>
      <c r="F68" t="str">
        <f>wyniki!$A$84</f>
        <v>ZSP Jedlińsk</v>
      </c>
      <c r="J68" s="93" t="str">
        <f t="shared" si="5"/>
        <v>Krzycka Joanna</v>
      </c>
      <c r="K68" s="80">
        <f>LARGE($E$2:$E$241,67)</f>
        <v>19.000319999999999</v>
      </c>
      <c r="L68" s="72">
        <f t="shared" si="6"/>
        <v>32</v>
      </c>
      <c r="M68" s="93" t="str">
        <f t="shared" si="7"/>
        <v>SP Bieniewice</v>
      </c>
      <c r="N68" s="39">
        <v>67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2:26" ht="17.25" thickTop="1" thickBot="1">
      <c r="B69" t="str">
        <f>wyniki!B86</f>
        <v>Dobrowolska Nikola</v>
      </c>
      <c r="C69" s="19">
        <f>wyniki!E86</f>
        <v>25.5</v>
      </c>
      <c r="D69" s="18">
        <v>6.8000000000000005E-4</v>
      </c>
      <c r="E69" s="19">
        <f t="shared" si="4"/>
        <v>25.500679999999999</v>
      </c>
      <c r="F69" t="str">
        <f>wyniki!$A$84</f>
        <v>ZSP Jedlińsk</v>
      </c>
      <c r="J69" s="93" t="str">
        <f t="shared" si="5"/>
        <v>Anielska Aleksandra</v>
      </c>
      <c r="K69" s="80">
        <f>LARGE($E$2:$E$241,68)</f>
        <v>18.00001</v>
      </c>
      <c r="L69" s="72">
        <f t="shared" si="6"/>
        <v>1</v>
      </c>
      <c r="M69" s="93" t="str">
        <f t="shared" si="7"/>
        <v>SP14 Warszawa</v>
      </c>
      <c r="N69" s="39">
        <v>68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2:26" ht="17.25" thickTop="1" thickBot="1">
      <c r="B70" t="str">
        <f>wyniki!B87</f>
        <v>Gryz Amelia</v>
      </c>
      <c r="C70" s="19">
        <f>wyniki!E87</f>
        <v>37.5</v>
      </c>
      <c r="D70" s="18">
        <v>6.8999999999999997E-4</v>
      </c>
      <c r="E70" s="19">
        <f t="shared" si="4"/>
        <v>37.500689999999999</v>
      </c>
      <c r="F70" t="str">
        <f>wyniki!$A$84</f>
        <v>ZSP Jedlińsk</v>
      </c>
      <c r="J70" s="93" t="str">
        <f t="shared" si="5"/>
        <v>Kołakowska Gabriela</v>
      </c>
      <c r="K70" s="80">
        <f>LARGE($E$2:$E$241,69)</f>
        <v>15.0002</v>
      </c>
      <c r="L70" s="72">
        <f t="shared" si="6"/>
        <v>20</v>
      </c>
      <c r="M70" s="93" t="str">
        <f t="shared" si="7"/>
        <v>SP2 Ostrów Maz.</v>
      </c>
      <c r="N70" s="39">
        <v>69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2:26" ht="17.25" thickTop="1" thickBot="1">
      <c r="B71" t="str">
        <f>wyniki!B88</f>
        <v>Walczak Łucja</v>
      </c>
      <c r="C71" s="19">
        <f>wyniki!E88</f>
        <v>27.5</v>
      </c>
      <c r="D71" s="18">
        <v>6.9999999999999999E-4</v>
      </c>
      <c r="E71" s="19">
        <f t="shared" si="4"/>
        <v>27.500699999999998</v>
      </c>
      <c r="F71" t="str">
        <f>wyniki!$A$84</f>
        <v>ZSP Jedlińsk</v>
      </c>
      <c r="J71" s="93" t="str">
        <f t="shared" si="5"/>
        <v>Maj Amelia</v>
      </c>
      <c r="K71" s="80">
        <f>LARGE($E$2:$E$241,70)</f>
        <v>15.000159999999999</v>
      </c>
      <c r="L71" s="72">
        <f t="shared" si="6"/>
        <v>16</v>
      </c>
      <c r="M71" s="93" t="str">
        <f t="shared" si="7"/>
        <v>PSP 2 Radom</v>
      </c>
      <c r="N71" s="39">
        <v>70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2:26" ht="17.25" thickTop="1" thickBot="1">
      <c r="B72" t="str">
        <f>wyniki!B89</f>
        <v>Żaczek Maja</v>
      </c>
      <c r="C72" s="19">
        <f>wyniki!E89</f>
        <v>26</v>
      </c>
      <c r="D72" s="18">
        <v>7.1000000000000002E-4</v>
      </c>
      <c r="E72" s="19">
        <f t="shared" si="4"/>
        <v>26.000710000000002</v>
      </c>
      <c r="F72" t="str">
        <f>wyniki!$A$84</f>
        <v>ZSP Jedlińsk</v>
      </c>
      <c r="J72" s="93" t="str">
        <f t="shared" si="5"/>
        <v>Szulc Amelia</v>
      </c>
      <c r="K72" s="80">
        <f>LARGE($E$2:$E$241,71)</f>
        <v>13.50065</v>
      </c>
      <c r="L72" s="72">
        <f t="shared" si="6"/>
        <v>65</v>
      </c>
      <c r="M72" s="93" t="str">
        <f t="shared" si="7"/>
        <v>SP3 Piaseczno</v>
      </c>
      <c r="N72" s="39">
        <v>71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2:26" ht="17.25" thickTop="1" thickBot="1">
      <c r="B73" t="str">
        <f>wyniki!B90</f>
        <v>Żaczek Nikola</v>
      </c>
      <c r="C73" s="19">
        <f>wyniki!E90</f>
        <v>22</v>
      </c>
      <c r="D73" s="18">
        <v>7.2000000000000005E-4</v>
      </c>
      <c r="E73" s="19">
        <f t="shared" si="4"/>
        <v>22.000720000000001</v>
      </c>
      <c r="F73" t="str">
        <f>wyniki!$A$84</f>
        <v>ZSP Jedlińsk</v>
      </c>
      <c r="J73" s="93" t="str">
        <f t="shared" si="5"/>
        <v>Kąca Alicja</v>
      </c>
      <c r="K73" s="80">
        <f>LARGE($E$2:$E$241,72)</f>
        <v>9.0001499999999997</v>
      </c>
      <c r="L73" s="72">
        <f t="shared" si="6"/>
        <v>15</v>
      </c>
      <c r="M73" s="93" t="str">
        <f t="shared" si="7"/>
        <v>PSP 2 Radom</v>
      </c>
      <c r="N73" s="39">
        <v>72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2:26" ht="17.25" thickTop="1" thickBot="1">
      <c r="B74">
        <f>wyniki!B92</f>
        <v>0</v>
      </c>
      <c r="C74" s="19">
        <f>wyniki!E92</f>
        <v>0</v>
      </c>
      <c r="D74" s="18">
        <v>7.2999999999999996E-4</v>
      </c>
      <c r="E74" s="19">
        <f t="shared" si="4"/>
        <v>7.2999999999999996E-4</v>
      </c>
      <c r="F74">
        <f>wyniki!$A$91</f>
        <v>0</v>
      </c>
      <c r="J74" s="93">
        <f t="shared" si="5"/>
        <v>0</v>
      </c>
      <c r="K74" s="80">
        <f>LARGE($E$2:$E$241,73)</f>
        <v>2.3999999999999998E-3</v>
      </c>
      <c r="L74" s="72">
        <f t="shared" si="6"/>
        <v>240</v>
      </c>
      <c r="M74" s="93">
        <f t="shared" si="7"/>
        <v>0</v>
      </c>
      <c r="N74" s="39">
        <v>73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2:26" ht="17.25" thickTop="1" thickBot="1">
      <c r="B75">
        <f>wyniki!B93</f>
        <v>0</v>
      </c>
      <c r="C75" s="19">
        <f>wyniki!E93</f>
        <v>0</v>
      </c>
      <c r="D75" s="18">
        <v>7.3999999999999999E-4</v>
      </c>
      <c r="E75" s="19">
        <f t="shared" si="4"/>
        <v>7.3999999999999999E-4</v>
      </c>
      <c r="F75">
        <f>wyniki!$A$91</f>
        <v>0</v>
      </c>
      <c r="J75" s="93">
        <f t="shared" si="5"/>
        <v>0</v>
      </c>
      <c r="K75" s="80">
        <f>LARGE($E$2:$E$241,74)</f>
        <v>2.3900000000000002E-3</v>
      </c>
      <c r="L75" s="72">
        <f t="shared" si="6"/>
        <v>239</v>
      </c>
      <c r="M75" s="93">
        <f t="shared" si="7"/>
        <v>0</v>
      </c>
      <c r="N75" s="39">
        <v>74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2:26" ht="17.25" thickTop="1" thickBot="1">
      <c r="B76">
        <f>wyniki!B94</f>
        <v>0</v>
      </c>
      <c r="C76" s="19">
        <f>wyniki!E94</f>
        <v>0</v>
      </c>
      <c r="D76" s="18">
        <v>7.5000000000000002E-4</v>
      </c>
      <c r="E76" s="19">
        <f t="shared" si="4"/>
        <v>7.5000000000000002E-4</v>
      </c>
      <c r="F76">
        <f>wyniki!$A$91</f>
        <v>0</v>
      </c>
      <c r="J76" s="93">
        <f t="shared" si="5"/>
        <v>0</v>
      </c>
      <c r="K76" s="80">
        <f>LARGE($E$2:$E$241,75)</f>
        <v>2.3800000000000002E-3</v>
      </c>
      <c r="L76" s="72">
        <f t="shared" si="6"/>
        <v>238</v>
      </c>
      <c r="M76" s="93">
        <f t="shared" si="7"/>
        <v>0</v>
      </c>
      <c r="N76" s="39">
        <v>75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2:26" ht="17.25" thickTop="1" thickBot="1">
      <c r="B77">
        <f>wyniki!B95</f>
        <v>0</v>
      </c>
      <c r="C77" s="19">
        <f>wyniki!E95</f>
        <v>0</v>
      </c>
      <c r="D77" s="18">
        <v>7.6000000000000004E-4</v>
      </c>
      <c r="E77" s="19">
        <f t="shared" si="4"/>
        <v>7.6000000000000004E-4</v>
      </c>
      <c r="F77">
        <f>wyniki!$A$91</f>
        <v>0</v>
      </c>
      <c r="J77" s="93">
        <f t="shared" si="5"/>
        <v>0</v>
      </c>
      <c r="K77" s="80">
        <f>LARGE($E$2:$E$241,76)</f>
        <v>2.3700000000000001E-3</v>
      </c>
      <c r="L77" s="72">
        <f t="shared" si="6"/>
        <v>237</v>
      </c>
      <c r="M77" s="93">
        <f t="shared" si="7"/>
        <v>0</v>
      </c>
      <c r="N77" s="39">
        <v>76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2:26" ht="17.25" thickTop="1" thickBot="1">
      <c r="B78">
        <f>wyniki!B96</f>
        <v>0</v>
      </c>
      <c r="C78" s="19">
        <f>wyniki!E96</f>
        <v>0</v>
      </c>
      <c r="D78" s="18">
        <v>7.6999999999999996E-4</v>
      </c>
      <c r="E78" s="19">
        <f t="shared" si="4"/>
        <v>7.6999999999999996E-4</v>
      </c>
      <c r="F78">
        <f>wyniki!$A$91</f>
        <v>0</v>
      </c>
      <c r="J78" s="93">
        <f t="shared" si="5"/>
        <v>0</v>
      </c>
      <c r="K78" s="80">
        <f>LARGE($E$2:$E$241,77)</f>
        <v>2.3600000000000001E-3</v>
      </c>
      <c r="L78" s="72">
        <f t="shared" si="6"/>
        <v>236</v>
      </c>
      <c r="M78" s="93">
        <f t="shared" si="7"/>
        <v>0</v>
      </c>
      <c r="N78" s="39">
        <v>77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2:26" ht="17.25" thickTop="1" thickBot="1">
      <c r="B79">
        <f>wyniki!B97</f>
        <v>0</v>
      </c>
      <c r="C79" s="19">
        <f>wyniki!E97</f>
        <v>0</v>
      </c>
      <c r="D79" s="18">
        <v>7.7999999999999999E-4</v>
      </c>
      <c r="E79" s="19">
        <f t="shared" si="4"/>
        <v>7.7999999999999999E-4</v>
      </c>
      <c r="F79">
        <f>wyniki!$A$91</f>
        <v>0</v>
      </c>
      <c r="J79" s="93">
        <f t="shared" si="5"/>
        <v>0</v>
      </c>
      <c r="K79" s="80">
        <f>LARGE($E$2:$E$241,78)</f>
        <v>2.3500000000000001E-3</v>
      </c>
      <c r="L79" s="72">
        <f t="shared" si="6"/>
        <v>235</v>
      </c>
      <c r="M79" s="93">
        <f t="shared" si="7"/>
        <v>0</v>
      </c>
      <c r="N79" s="39">
        <v>78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2:26" ht="17.25" thickTop="1" thickBot="1">
      <c r="B80">
        <f>wyniki!B99</f>
        <v>0</v>
      </c>
      <c r="C80" s="19">
        <f>wyniki!E99</f>
        <v>0</v>
      </c>
      <c r="D80" s="18">
        <v>7.9000000000000001E-4</v>
      </c>
      <c r="E80" s="19">
        <f t="shared" si="4"/>
        <v>7.9000000000000001E-4</v>
      </c>
      <c r="F80">
        <f>wyniki!$A$98</f>
        <v>0</v>
      </c>
      <c r="J80" s="93">
        <f t="shared" si="5"/>
        <v>0</v>
      </c>
      <c r="K80" s="80">
        <f>LARGE($E$2:$E$241,79)</f>
        <v>2.3400000000000001E-3</v>
      </c>
      <c r="L80" s="72">
        <f t="shared" si="6"/>
        <v>234</v>
      </c>
      <c r="M80" s="93">
        <f t="shared" si="7"/>
        <v>0</v>
      </c>
      <c r="N80" s="39">
        <v>79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2:26" ht="17.25" thickTop="1" thickBot="1">
      <c r="B81">
        <f>wyniki!B100</f>
        <v>0</v>
      </c>
      <c r="C81" s="19">
        <f>wyniki!E100</f>
        <v>0</v>
      </c>
      <c r="D81" s="18">
        <v>8.0000000000000004E-4</v>
      </c>
      <c r="E81" s="19">
        <f t="shared" si="4"/>
        <v>8.0000000000000004E-4</v>
      </c>
      <c r="F81">
        <f>wyniki!$A$98</f>
        <v>0</v>
      </c>
      <c r="J81" s="93">
        <f t="shared" si="5"/>
        <v>0</v>
      </c>
      <c r="K81" s="80">
        <f>LARGE($E$2:$E$241,80)</f>
        <v>2.33E-3</v>
      </c>
      <c r="L81" s="72">
        <f t="shared" si="6"/>
        <v>233</v>
      </c>
      <c r="M81" s="93">
        <f t="shared" si="7"/>
        <v>0</v>
      </c>
      <c r="N81" s="39">
        <v>80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2:26" ht="17.25" thickTop="1" thickBot="1">
      <c r="B82">
        <f>wyniki!B101</f>
        <v>0</v>
      </c>
      <c r="C82" s="19">
        <f>wyniki!E101</f>
        <v>0</v>
      </c>
      <c r="D82" s="18">
        <v>8.0999999999999996E-4</v>
      </c>
      <c r="E82" s="19">
        <f t="shared" si="4"/>
        <v>8.0999999999999996E-4</v>
      </c>
      <c r="F82">
        <f>wyniki!$A$98</f>
        <v>0</v>
      </c>
      <c r="J82" s="93">
        <f t="shared" si="5"/>
        <v>0</v>
      </c>
      <c r="K82" s="80">
        <f>LARGE($E$2:$E$241,81)</f>
        <v>2.32E-3</v>
      </c>
      <c r="L82" s="72">
        <f t="shared" si="6"/>
        <v>232</v>
      </c>
      <c r="M82" s="93">
        <f t="shared" si="7"/>
        <v>0</v>
      </c>
      <c r="N82" s="39">
        <v>81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2:26" ht="17.25" thickTop="1" thickBot="1">
      <c r="B83">
        <f>wyniki!B102</f>
        <v>0</v>
      </c>
      <c r="C83" s="19">
        <f>wyniki!E102</f>
        <v>0</v>
      </c>
      <c r="D83" s="18">
        <v>8.1999999999999998E-4</v>
      </c>
      <c r="E83" s="19">
        <f t="shared" si="4"/>
        <v>8.1999999999999998E-4</v>
      </c>
      <c r="F83">
        <f>wyniki!$A$98</f>
        <v>0</v>
      </c>
      <c r="J83" s="93">
        <f t="shared" si="5"/>
        <v>0</v>
      </c>
      <c r="K83" s="80">
        <f>LARGE($E$2:$E$241,82)</f>
        <v>2.31E-3</v>
      </c>
      <c r="L83" s="72">
        <f t="shared" si="6"/>
        <v>231</v>
      </c>
      <c r="M83" s="93">
        <f t="shared" si="7"/>
        <v>0</v>
      </c>
      <c r="N83" s="39">
        <v>82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2:26" ht="17.25" thickTop="1" thickBot="1">
      <c r="B84">
        <f>wyniki!B103</f>
        <v>0</v>
      </c>
      <c r="C84" s="19">
        <f>wyniki!E103</f>
        <v>0</v>
      </c>
      <c r="D84" s="18">
        <v>8.3000000000000001E-4</v>
      </c>
      <c r="E84" s="19">
        <f t="shared" si="4"/>
        <v>8.3000000000000001E-4</v>
      </c>
      <c r="F84">
        <f>wyniki!$A$98</f>
        <v>0</v>
      </c>
      <c r="J84" s="93">
        <f t="shared" si="5"/>
        <v>0</v>
      </c>
      <c r="K84" s="80">
        <f>LARGE($E$2:$E$241,83)</f>
        <v>2.3E-3</v>
      </c>
      <c r="L84" s="72">
        <f t="shared" si="6"/>
        <v>230</v>
      </c>
      <c r="M84" s="93">
        <f t="shared" si="7"/>
        <v>0</v>
      </c>
      <c r="N84" s="39">
        <v>83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2:26" ht="17.25" thickTop="1" thickBot="1">
      <c r="B85">
        <f>wyniki!B104</f>
        <v>0</v>
      </c>
      <c r="C85" s="19">
        <f>wyniki!E104</f>
        <v>0</v>
      </c>
      <c r="D85" s="18">
        <v>8.4000000000000003E-4</v>
      </c>
      <c r="E85" s="19">
        <f t="shared" si="4"/>
        <v>8.4000000000000003E-4</v>
      </c>
      <c r="F85">
        <f>wyniki!$A$98</f>
        <v>0</v>
      </c>
      <c r="J85" s="93">
        <f t="shared" si="5"/>
        <v>0</v>
      </c>
      <c r="K85" s="80">
        <f>LARGE($E$2:$E$241,84)</f>
        <v>2.2899999999999999E-3</v>
      </c>
      <c r="L85" s="72">
        <f t="shared" si="6"/>
        <v>229</v>
      </c>
      <c r="M85" s="93">
        <f t="shared" si="7"/>
        <v>0</v>
      </c>
      <c r="N85" s="39">
        <v>84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2:26" ht="17.25" thickTop="1" thickBot="1">
      <c r="B86">
        <f>wyniki!B106</f>
        <v>0</v>
      </c>
      <c r="C86" s="19">
        <f>wyniki!E106</f>
        <v>0</v>
      </c>
      <c r="D86" s="18">
        <v>8.4999999999999995E-4</v>
      </c>
      <c r="E86" s="19">
        <f t="shared" si="4"/>
        <v>8.4999999999999995E-4</v>
      </c>
      <c r="F86">
        <f>wyniki!$A$105</f>
        <v>0</v>
      </c>
      <c r="J86" s="93">
        <f t="shared" si="5"/>
        <v>0</v>
      </c>
      <c r="K86" s="80">
        <f>LARGE($E$2:$E$241,85)</f>
        <v>2.2799999999999999E-3</v>
      </c>
      <c r="L86" s="72">
        <f t="shared" si="6"/>
        <v>228</v>
      </c>
      <c r="M86" s="93">
        <f t="shared" si="7"/>
        <v>0</v>
      </c>
      <c r="N86" s="39">
        <v>85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2:26" ht="17.25" thickTop="1" thickBot="1">
      <c r="B87">
        <f>wyniki!B107</f>
        <v>0</v>
      </c>
      <c r="C87" s="19">
        <f>wyniki!E107</f>
        <v>0</v>
      </c>
      <c r="D87" s="18">
        <v>8.5999999999999998E-4</v>
      </c>
      <c r="E87" s="19">
        <f t="shared" si="4"/>
        <v>8.5999999999999998E-4</v>
      </c>
      <c r="F87">
        <f>wyniki!$A$105</f>
        <v>0</v>
      </c>
      <c r="J87" s="93">
        <f t="shared" si="5"/>
        <v>0</v>
      </c>
      <c r="K87" s="80">
        <f>LARGE($E$2:$E$241,86)</f>
        <v>2.2699999999999999E-3</v>
      </c>
      <c r="L87" s="72">
        <f t="shared" si="6"/>
        <v>227</v>
      </c>
      <c r="M87" s="93">
        <f t="shared" si="7"/>
        <v>0</v>
      </c>
      <c r="N87" s="39">
        <v>86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2:26" ht="17.25" thickTop="1" thickBot="1">
      <c r="B88">
        <f>wyniki!B108</f>
        <v>0</v>
      </c>
      <c r="C88" s="19">
        <f>wyniki!E108</f>
        <v>0</v>
      </c>
      <c r="D88" s="18">
        <v>8.7000000000000001E-4</v>
      </c>
      <c r="E88" s="19">
        <f t="shared" si="4"/>
        <v>8.7000000000000001E-4</v>
      </c>
      <c r="F88">
        <f>wyniki!$A$105</f>
        <v>0</v>
      </c>
      <c r="J88" s="93">
        <f t="shared" si="5"/>
        <v>0</v>
      </c>
      <c r="K88" s="80">
        <f>LARGE($E$2:$E$241,87)</f>
        <v>2.2599999999999999E-3</v>
      </c>
      <c r="L88" s="72">
        <f t="shared" si="6"/>
        <v>226</v>
      </c>
      <c r="M88" s="93">
        <f t="shared" si="7"/>
        <v>0</v>
      </c>
      <c r="N88" s="39">
        <v>87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2:26" ht="17.25" thickTop="1" thickBot="1">
      <c r="B89">
        <f>wyniki!B109</f>
        <v>0</v>
      </c>
      <c r="C89" s="19">
        <f>wyniki!E109</f>
        <v>0</v>
      </c>
      <c r="D89" s="18">
        <v>8.8000000000000003E-4</v>
      </c>
      <c r="E89" s="19">
        <f t="shared" si="4"/>
        <v>8.8000000000000003E-4</v>
      </c>
      <c r="F89">
        <f>wyniki!$A$105</f>
        <v>0</v>
      </c>
      <c r="J89" s="93">
        <f t="shared" si="5"/>
        <v>0</v>
      </c>
      <c r="K89" s="80">
        <f>LARGE($E$2:$E$241,88)</f>
        <v>2.2499999999999998E-3</v>
      </c>
      <c r="L89" s="72">
        <f t="shared" si="6"/>
        <v>225</v>
      </c>
      <c r="M89" s="93">
        <f t="shared" si="7"/>
        <v>0</v>
      </c>
      <c r="N89" s="39">
        <v>88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2:26" ht="17.25" thickTop="1" thickBot="1">
      <c r="B90">
        <f>wyniki!B110</f>
        <v>0</v>
      </c>
      <c r="C90" s="19">
        <f>wyniki!E110</f>
        <v>0</v>
      </c>
      <c r="D90" s="18">
        <v>8.8999999999999995E-4</v>
      </c>
      <c r="E90" s="19">
        <f t="shared" si="4"/>
        <v>8.8999999999999995E-4</v>
      </c>
      <c r="F90">
        <f>wyniki!$A$105</f>
        <v>0</v>
      </c>
      <c r="J90" s="93">
        <f t="shared" si="5"/>
        <v>0</v>
      </c>
      <c r="K90" s="80">
        <f>LARGE($E$2:$E$241,89)</f>
        <v>2.2399999999999998E-3</v>
      </c>
      <c r="L90" s="72">
        <f t="shared" si="6"/>
        <v>224</v>
      </c>
      <c r="M90" s="93">
        <f t="shared" si="7"/>
        <v>0</v>
      </c>
      <c r="N90" s="39">
        <v>89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2:26" ht="17.25" thickTop="1" thickBot="1">
      <c r="B91">
        <f>wyniki!B111</f>
        <v>0</v>
      </c>
      <c r="C91" s="19">
        <f>wyniki!E111</f>
        <v>0</v>
      </c>
      <c r="D91" s="18">
        <v>8.9999999999999998E-4</v>
      </c>
      <c r="E91" s="19">
        <f t="shared" si="4"/>
        <v>8.9999999999999998E-4</v>
      </c>
      <c r="F91">
        <f>wyniki!$A$105</f>
        <v>0</v>
      </c>
      <c r="J91" s="93">
        <f t="shared" si="5"/>
        <v>0</v>
      </c>
      <c r="K91" s="80">
        <f>LARGE($E$2:$E$241,90)</f>
        <v>2.2300000000000002E-3</v>
      </c>
      <c r="L91" s="72">
        <f t="shared" si="6"/>
        <v>223</v>
      </c>
      <c r="M91" s="93">
        <f t="shared" si="7"/>
        <v>0</v>
      </c>
      <c r="N91" s="39">
        <v>90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2:26" ht="17.25" thickTop="1" thickBot="1">
      <c r="B92">
        <f>wyniki!B113</f>
        <v>0</v>
      </c>
      <c r="C92" s="19">
        <f>wyniki!E113</f>
        <v>0</v>
      </c>
      <c r="D92" s="18">
        <v>9.1E-4</v>
      </c>
      <c r="E92" s="19">
        <f t="shared" si="4"/>
        <v>9.1E-4</v>
      </c>
      <c r="F92">
        <f>wyniki!$A$112</f>
        <v>0</v>
      </c>
      <c r="J92" s="93">
        <f t="shared" si="5"/>
        <v>0</v>
      </c>
      <c r="K92" s="80">
        <f>LARGE($E$2:$E$241,91)</f>
        <v>2.2200000000000002E-3</v>
      </c>
      <c r="L92" s="72">
        <f t="shared" si="6"/>
        <v>222</v>
      </c>
      <c r="M92" s="93">
        <f t="shared" si="7"/>
        <v>0</v>
      </c>
      <c r="N92" s="39">
        <v>91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2:26" ht="17.25" thickTop="1" thickBot="1">
      <c r="B93">
        <f>wyniki!B114</f>
        <v>0</v>
      </c>
      <c r="C93" s="19">
        <f>wyniki!E114</f>
        <v>0</v>
      </c>
      <c r="D93" s="18">
        <v>9.2000000000000003E-4</v>
      </c>
      <c r="E93" s="19">
        <f t="shared" si="4"/>
        <v>9.2000000000000003E-4</v>
      </c>
      <c r="F93">
        <f>wyniki!$A$112</f>
        <v>0</v>
      </c>
      <c r="J93" s="93">
        <f t="shared" si="5"/>
        <v>0</v>
      </c>
      <c r="K93" s="80">
        <f>LARGE($E$2:$E$241,92)</f>
        <v>2.2100000000000002E-3</v>
      </c>
      <c r="L93" s="72">
        <f t="shared" si="6"/>
        <v>221</v>
      </c>
      <c r="M93" s="93">
        <f t="shared" si="7"/>
        <v>0</v>
      </c>
      <c r="N93" s="39">
        <v>92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2:26" ht="17.25" thickTop="1" thickBot="1">
      <c r="B94">
        <f>wyniki!B115</f>
        <v>0</v>
      </c>
      <c r="C94" s="19">
        <f>wyniki!E115</f>
        <v>0</v>
      </c>
      <c r="D94" s="18">
        <v>9.3000000000000005E-4</v>
      </c>
      <c r="E94" s="19">
        <f t="shared" si="4"/>
        <v>9.3000000000000005E-4</v>
      </c>
      <c r="F94">
        <f>wyniki!$A$112</f>
        <v>0</v>
      </c>
      <c r="J94" s="93">
        <f t="shared" si="5"/>
        <v>0</v>
      </c>
      <c r="K94" s="80">
        <f>LARGE($E$2:$E$241,93)</f>
        <v>2.2000000000000001E-3</v>
      </c>
      <c r="L94" s="72">
        <f t="shared" si="6"/>
        <v>220</v>
      </c>
      <c r="M94" s="93">
        <f t="shared" si="7"/>
        <v>0</v>
      </c>
      <c r="N94" s="39">
        <v>93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2:26" ht="17.25" thickTop="1" thickBot="1">
      <c r="B95">
        <f>wyniki!B116</f>
        <v>0</v>
      </c>
      <c r="C95" s="19">
        <f>wyniki!E116</f>
        <v>0</v>
      </c>
      <c r="D95" s="18">
        <v>9.3999999999999997E-4</v>
      </c>
      <c r="E95" s="19">
        <f t="shared" si="4"/>
        <v>9.3999999999999997E-4</v>
      </c>
      <c r="F95">
        <f>wyniki!$A$112</f>
        <v>0</v>
      </c>
      <c r="J95" s="93">
        <f t="shared" si="5"/>
        <v>0</v>
      </c>
      <c r="K95" s="80">
        <f>LARGE($E$2:$E$241,94)</f>
        <v>2.1900000000000001E-3</v>
      </c>
      <c r="L95" s="72">
        <f t="shared" si="6"/>
        <v>219</v>
      </c>
      <c r="M95" s="93">
        <f t="shared" si="7"/>
        <v>0</v>
      </c>
      <c r="N95" s="39">
        <v>94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2:26" ht="17.25" thickTop="1" thickBot="1">
      <c r="B96">
        <f>wyniki!B117</f>
        <v>0</v>
      </c>
      <c r="C96" s="19">
        <f>wyniki!E117</f>
        <v>0</v>
      </c>
      <c r="D96" s="18">
        <v>9.5E-4</v>
      </c>
      <c r="E96" s="19">
        <f t="shared" si="4"/>
        <v>9.5E-4</v>
      </c>
      <c r="F96">
        <f>wyniki!$A$112</f>
        <v>0</v>
      </c>
      <c r="J96" s="93">
        <f t="shared" si="5"/>
        <v>0</v>
      </c>
      <c r="K96" s="80">
        <f>LARGE($E$2:$E$241,95)</f>
        <v>2.1800000000000001E-3</v>
      </c>
      <c r="L96" s="72">
        <f t="shared" si="6"/>
        <v>218</v>
      </c>
      <c r="M96" s="93">
        <f t="shared" si="7"/>
        <v>0</v>
      </c>
      <c r="N96" s="39">
        <v>95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2:26" ht="17.25" thickTop="1" thickBot="1">
      <c r="B97">
        <f>wyniki!B118</f>
        <v>0</v>
      </c>
      <c r="C97" s="19">
        <f>wyniki!E118</f>
        <v>0</v>
      </c>
      <c r="D97" s="18">
        <v>9.6000000000000002E-4</v>
      </c>
      <c r="E97" s="19">
        <f t="shared" si="4"/>
        <v>9.6000000000000002E-4</v>
      </c>
      <c r="F97">
        <f>wyniki!$A$112</f>
        <v>0</v>
      </c>
      <c r="J97" s="93">
        <f t="shared" si="5"/>
        <v>0</v>
      </c>
      <c r="K97" s="80">
        <f>LARGE($E$2:$E$241,96)</f>
        <v>2.1700000000000001E-3</v>
      </c>
      <c r="L97" s="72">
        <f t="shared" si="6"/>
        <v>217</v>
      </c>
      <c r="M97" s="93">
        <f t="shared" si="7"/>
        <v>0</v>
      </c>
      <c r="N97" s="39">
        <v>96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2:26" ht="17.25" thickTop="1" thickBot="1">
      <c r="B98">
        <f>wyniki!B120</f>
        <v>0</v>
      </c>
      <c r="C98" s="19">
        <f>wyniki!E120</f>
        <v>0</v>
      </c>
      <c r="D98" s="18">
        <v>9.7000000000000005E-4</v>
      </c>
      <c r="E98" s="19">
        <f t="shared" si="4"/>
        <v>9.7000000000000005E-4</v>
      </c>
      <c r="F98">
        <f>wyniki!$A$119</f>
        <v>0</v>
      </c>
      <c r="J98" s="93">
        <f t="shared" si="5"/>
        <v>0</v>
      </c>
      <c r="K98" s="80">
        <f>LARGE($E$2:$E$241,97)</f>
        <v>2.16E-3</v>
      </c>
      <c r="L98" s="72">
        <f t="shared" si="6"/>
        <v>216</v>
      </c>
      <c r="M98" s="93">
        <f t="shared" si="7"/>
        <v>0</v>
      </c>
      <c r="N98" s="39">
        <v>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ht="17.25" thickTop="1" thickBot="1">
      <c r="B99">
        <f>wyniki!B121</f>
        <v>0</v>
      </c>
      <c r="C99" s="19">
        <f>wyniki!E121</f>
        <v>0</v>
      </c>
      <c r="D99" s="18">
        <v>9.7999999999999997E-4</v>
      </c>
      <c r="E99" s="19">
        <f t="shared" si="4"/>
        <v>9.7999999999999997E-4</v>
      </c>
      <c r="F99">
        <f>wyniki!$A$119</f>
        <v>0</v>
      </c>
      <c r="J99" s="93">
        <f t="shared" si="5"/>
        <v>0</v>
      </c>
      <c r="K99" s="80">
        <f>LARGE($E$2:$E$241,98)</f>
        <v>2.15E-3</v>
      </c>
      <c r="L99" s="72">
        <f t="shared" si="6"/>
        <v>215</v>
      </c>
      <c r="M99" s="93">
        <f t="shared" si="7"/>
        <v>0</v>
      </c>
      <c r="N99" s="39">
        <v>98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ht="17.25" thickTop="1" thickBot="1">
      <c r="B100">
        <f>wyniki!B122</f>
        <v>0</v>
      </c>
      <c r="C100" s="19">
        <f>wyniki!E122</f>
        <v>0</v>
      </c>
      <c r="D100" s="18">
        <v>9.8999999999999999E-4</v>
      </c>
      <c r="E100" s="19">
        <f t="shared" si="4"/>
        <v>9.8999999999999999E-4</v>
      </c>
      <c r="F100">
        <f>wyniki!$A$119</f>
        <v>0</v>
      </c>
      <c r="J100" s="93">
        <f t="shared" si="5"/>
        <v>0</v>
      </c>
      <c r="K100" s="80">
        <f>LARGE($E$2:$E$241,99)</f>
        <v>2.14E-3</v>
      </c>
      <c r="L100" s="72">
        <f t="shared" si="6"/>
        <v>214</v>
      </c>
      <c r="M100" s="93">
        <f t="shared" si="7"/>
        <v>0</v>
      </c>
      <c r="N100" s="39">
        <v>99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2:26" ht="17.25" thickTop="1" thickBot="1">
      <c r="B101">
        <f>wyniki!B123</f>
        <v>0</v>
      </c>
      <c r="C101" s="19">
        <f>wyniki!E123</f>
        <v>0</v>
      </c>
      <c r="D101" s="18">
        <v>1E-3</v>
      </c>
      <c r="E101" s="19">
        <f t="shared" si="4"/>
        <v>1E-3</v>
      </c>
      <c r="F101">
        <f>wyniki!$A$119</f>
        <v>0</v>
      </c>
      <c r="J101" s="93">
        <f t="shared" si="5"/>
        <v>0</v>
      </c>
      <c r="K101" s="80">
        <f>LARGE($E$2:$E$241,100)</f>
        <v>2.1299999999999999E-3</v>
      </c>
      <c r="L101" s="72">
        <f t="shared" si="6"/>
        <v>213</v>
      </c>
      <c r="M101" s="93">
        <f t="shared" si="7"/>
        <v>0</v>
      </c>
      <c r="N101" s="39">
        <v>100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2:26" ht="17.25" thickTop="1" thickBot="1">
      <c r="B102">
        <f>wyniki!B124</f>
        <v>0</v>
      </c>
      <c r="C102" s="19">
        <f>wyniki!E124</f>
        <v>0</v>
      </c>
      <c r="D102" s="18">
        <v>1.01E-3</v>
      </c>
      <c r="E102" s="19">
        <f t="shared" si="4"/>
        <v>1.01E-3</v>
      </c>
      <c r="F102">
        <f>wyniki!$A$119</f>
        <v>0</v>
      </c>
      <c r="J102" s="93">
        <f t="shared" si="5"/>
        <v>0</v>
      </c>
      <c r="K102" s="80">
        <f>LARGE($E$2:$E$241,101)</f>
        <v>2.1199999999999999E-3</v>
      </c>
      <c r="L102" s="72">
        <f t="shared" si="6"/>
        <v>212</v>
      </c>
      <c r="M102" s="93">
        <f t="shared" si="7"/>
        <v>0</v>
      </c>
      <c r="N102" s="39">
        <v>101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2:26" ht="17.25" thickTop="1" thickBot="1">
      <c r="B103">
        <f>wyniki!B125</f>
        <v>0</v>
      </c>
      <c r="C103" s="19">
        <f>wyniki!E125</f>
        <v>0</v>
      </c>
      <c r="D103" s="18">
        <v>1.0200000000000001E-3</v>
      </c>
      <c r="E103" s="19">
        <f t="shared" si="4"/>
        <v>1.0200000000000001E-3</v>
      </c>
      <c r="F103">
        <f>wyniki!$A$119</f>
        <v>0</v>
      </c>
      <c r="J103" s="93">
        <f t="shared" si="5"/>
        <v>0</v>
      </c>
      <c r="K103" s="80">
        <f>LARGE($E$2:$E$241,102)</f>
        <v>2.1099999999999999E-3</v>
      </c>
      <c r="L103" s="72">
        <f t="shared" si="6"/>
        <v>211</v>
      </c>
      <c r="M103" s="93">
        <f t="shared" si="7"/>
        <v>0</v>
      </c>
      <c r="N103" s="39">
        <v>102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2:26" ht="17.25" thickTop="1" thickBot="1">
      <c r="B104">
        <f>wyniki!B127</f>
        <v>0</v>
      </c>
      <c r="C104" s="19">
        <f>wyniki!E127</f>
        <v>0</v>
      </c>
      <c r="D104" s="18">
        <v>1.0300000000000001E-3</v>
      </c>
      <c r="E104" s="19">
        <f t="shared" si="4"/>
        <v>1.0300000000000001E-3</v>
      </c>
      <c r="F104">
        <f>wyniki!$A$126</f>
        <v>0</v>
      </c>
      <c r="J104" s="93">
        <f t="shared" si="5"/>
        <v>0</v>
      </c>
      <c r="K104" s="80">
        <f>LARGE($E$2:$E$241,103)</f>
        <v>2.0999999999999999E-3</v>
      </c>
      <c r="L104" s="72">
        <f t="shared" si="6"/>
        <v>210</v>
      </c>
      <c r="M104" s="93">
        <f t="shared" si="7"/>
        <v>0</v>
      </c>
      <c r="N104" s="39">
        <v>103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2:26" ht="17.25" thickTop="1" thickBot="1">
      <c r="B105">
        <f>wyniki!B128</f>
        <v>0</v>
      </c>
      <c r="C105" s="19">
        <f>wyniki!E128</f>
        <v>0</v>
      </c>
      <c r="D105" s="18">
        <v>1.0399999999999999E-3</v>
      </c>
      <c r="E105" s="19">
        <f t="shared" si="4"/>
        <v>1.0399999999999999E-3</v>
      </c>
      <c r="F105">
        <f>wyniki!$A$126</f>
        <v>0</v>
      </c>
      <c r="J105" s="93">
        <f t="shared" si="5"/>
        <v>0</v>
      </c>
      <c r="K105" s="80">
        <f>LARGE($E$2:$E$241,104)</f>
        <v>2.0899999999999998E-3</v>
      </c>
      <c r="L105" s="72">
        <f t="shared" si="6"/>
        <v>209</v>
      </c>
      <c r="M105" s="93">
        <f t="shared" si="7"/>
        <v>0</v>
      </c>
      <c r="N105" s="39">
        <v>104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2:26" ht="17.25" thickTop="1" thickBot="1">
      <c r="B106">
        <f>wyniki!B129</f>
        <v>0</v>
      </c>
      <c r="C106" s="19">
        <f>wyniki!E129</f>
        <v>0</v>
      </c>
      <c r="D106" s="18">
        <v>1.0499999999999999E-3</v>
      </c>
      <c r="E106" s="19">
        <f t="shared" si="4"/>
        <v>1.0499999999999999E-3</v>
      </c>
      <c r="F106">
        <f>wyniki!$A$126</f>
        <v>0</v>
      </c>
      <c r="J106" s="93">
        <f t="shared" si="5"/>
        <v>0</v>
      </c>
      <c r="K106" s="80">
        <f>LARGE($E$2:$E$241,105)</f>
        <v>2.0799999999999998E-3</v>
      </c>
      <c r="L106" s="72">
        <f t="shared" si="6"/>
        <v>208</v>
      </c>
      <c r="M106" s="93">
        <f t="shared" si="7"/>
        <v>0</v>
      </c>
      <c r="N106" s="39">
        <v>105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2:26" ht="17.25" thickTop="1" thickBot="1">
      <c r="B107">
        <f>wyniki!B130</f>
        <v>0</v>
      </c>
      <c r="C107" s="19">
        <f>wyniki!E130</f>
        <v>0</v>
      </c>
      <c r="D107" s="18">
        <v>1.06E-3</v>
      </c>
      <c r="E107" s="19">
        <f t="shared" si="4"/>
        <v>1.06E-3</v>
      </c>
      <c r="F107">
        <f>wyniki!$A$126</f>
        <v>0</v>
      </c>
      <c r="J107" s="93">
        <f t="shared" si="5"/>
        <v>0</v>
      </c>
      <c r="K107" s="80">
        <f>LARGE($E$2:$E$241,106)</f>
        <v>2.0699999999999998E-3</v>
      </c>
      <c r="L107" s="72">
        <f t="shared" si="6"/>
        <v>207</v>
      </c>
      <c r="M107" s="93">
        <f t="shared" si="7"/>
        <v>0</v>
      </c>
      <c r="N107" s="39">
        <v>106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2:26" ht="17.25" thickTop="1" thickBot="1">
      <c r="B108">
        <f>wyniki!B131</f>
        <v>0</v>
      </c>
      <c r="C108" s="19">
        <f>wyniki!E131</f>
        <v>0</v>
      </c>
      <c r="D108" s="18">
        <v>1.07E-3</v>
      </c>
      <c r="E108" s="19">
        <f t="shared" si="4"/>
        <v>1.07E-3</v>
      </c>
      <c r="F108">
        <f>wyniki!$A$126</f>
        <v>0</v>
      </c>
      <c r="J108" s="93">
        <f t="shared" si="5"/>
        <v>0</v>
      </c>
      <c r="K108" s="80">
        <f>LARGE($E$2:$E$241,107)</f>
        <v>2.0600000000000002E-3</v>
      </c>
      <c r="L108" s="72">
        <f t="shared" si="6"/>
        <v>206</v>
      </c>
      <c r="M108" s="93">
        <f t="shared" si="7"/>
        <v>0</v>
      </c>
      <c r="N108" s="39">
        <v>107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2:26" ht="17.25" thickTop="1" thickBot="1">
      <c r="B109">
        <f>wyniki!B132</f>
        <v>0</v>
      </c>
      <c r="C109" s="19">
        <f>wyniki!E132</f>
        <v>0</v>
      </c>
      <c r="D109" s="18">
        <v>1.08E-3</v>
      </c>
      <c r="E109" s="19">
        <f t="shared" si="4"/>
        <v>1.08E-3</v>
      </c>
      <c r="F109">
        <f>wyniki!$A$126</f>
        <v>0</v>
      </c>
      <c r="J109" s="93">
        <f t="shared" si="5"/>
        <v>0</v>
      </c>
      <c r="K109" s="80">
        <f>LARGE($E$2:$E$241,108)</f>
        <v>2.0500000000000002E-3</v>
      </c>
      <c r="L109" s="72">
        <f t="shared" si="6"/>
        <v>205</v>
      </c>
      <c r="M109" s="93">
        <f t="shared" si="7"/>
        <v>0</v>
      </c>
      <c r="N109" s="39">
        <v>108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2:26" ht="17.25" thickTop="1" thickBot="1">
      <c r="B110">
        <f>wyniki!B134</f>
        <v>0</v>
      </c>
      <c r="C110" s="19">
        <f>wyniki!E134</f>
        <v>0</v>
      </c>
      <c r="D110" s="18">
        <v>1.09E-3</v>
      </c>
      <c r="E110" s="19">
        <f t="shared" si="4"/>
        <v>1.09E-3</v>
      </c>
      <c r="F110">
        <f>wyniki!$A$133</f>
        <v>0</v>
      </c>
      <c r="J110" s="93">
        <f t="shared" si="5"/>
        <v>0</v>
      </c>
      <c r="K110" s="80">
        <f>LARGE($E$2:$E$241,109)</f>
        <v>2.0400000000000001E-3</v>
      </c>
      <c r="L110" s="72">
        <f t="shared" si="6"/>
        <v>204</v>
      </c>
      <c r="M110" s="93">
        <f t="shared" si="7"/>
        <v>0</v>
      </c>
      <c r="N110" s="39">
        <v>109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2:26" ht="17.25" thickTop="1" thickBot="1">
      <c r="B111">
        <f>wyniki!B135</f>
        <v>0</v>
      </c>
      <c r="C111" s="19">
        <f>wyniki!E135</f>
        <v>0</v>
      </c>
      <c r="D111" s="18">
        <v>1.1000000000000001E-3</v>
      </c>
      <c r="E111" s="19">
        <f t="shared" si="4"/>
        <v>1.1000000000000001E-3</v>
      </c>
      <c r="F111">
        <f>wyniki!$A$133</f>
        <v>0</v>
      </c>
      <c r="J111" s="93">
        <f t="shared" si="5"/>
        <v>0</v>
      </c>
      <c r="K111" s="80">
        <f>LARGE($E$2:$E$241,110)</f>
        <v>2.0300000000000001E-3</v>
      </c>
      <c r="L111" s="72">
        <f t="shared" si="6"/>
        <v>203</v>
      </c>
      <c r="M111" s="93">
        <f t="shared" si="7"/>
        <v>0</v>
      </c>
      <c r="N111" s="39">
        <v>110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2:26" ht="17.25" thickTop="1" thickBot="1">
      <c r="B112">
        <f>wyniki!B136</f>
        <v>0</v>
      </c>
      <c r="C112" s="19">
        <f>wyniki!E136</f>
        <v>0</v>
      </c>
      <c r="D112" s="18">
        <v>1.1100000000000001E-3</v>
      </c>
      <c r="E112" s="19">
        <f t="shared" si="4"/>
        <v>1.1100000000000001E-3</v>
      </c>
      <c r="F112">
        <f>wyniki!$A$133</f>
        <v>0</v>
      </c>
      <c r="J112" s="93">
        <f t="shared" si="5"/>
        <v>0</v>
      </c>
      <c r="K112" s="80">
        <f>LARGE($E$2:$E$241,111)</f>
        <v>2.0200000000000001E-3</v>
      </c>
      <c r="L112" s="72">
        <f t="shared" si="6"/>
        <v>202</v>
      </c>
      <c r="M112" s="93">
        <f t="shared" si="7"/>
        <v>0</v>
      </c>
      <c r="N112" s="39">
        <v>111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2:26" ht="17.25" thickTop="1" thickBot="1">
      <c r="B113">
        <f>wyniki!B137</f>
        <v>0</v>
      </c>
      <c r="C113" s="19">
        <f>wyniki!E137</f>
        <v>0</v>
      </c>
      <c r="D113" s="18">
        <v>1.1199999999999999E-3</v>
      </c>
      <c r="E113" s="19">
        <f t="shared" si="4"/>
        <v>1.1199999999999999E-3</v>
      </c>
      <c r="F113">
        <f>wyniki!$A$133</f>
        <v>0</v>
      </c>
      <c r="J113" s="93">
        <f t="shared" si="5"/>
        <v>0</v>
      </c>
      <c r="K113" s="80">
        <f>LARGE($E$2:$E$241,112)</f>
        <v>2.0100000000000001E-3</v>
      </c>
      <c r="L113" s="72">
        <f t="shared" si="6"/>
        <v>201</v>
      </c>
      <c r="M113" s="93">
        <f t="shared" si="7"/>
        <v>0</v>
      </c>
      <c r="N113" s="39">
        <v>112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2:26" ht="17.25" thickTop="1" thickBot="1">
      <c r="B114">
        <f>wyniki!B138</f>
        <v>0</v>
      </c>
      <c r="C114" s="19">
        <f>wyniki!E138</f>
        <v>0</v>
      </c>
      <c r="D114" s="18">
        <v>1.1299999999999999E-3</v>
      </c>
      <c r="E114" s="19">
        <f t="shared" si="4"/>
        <v>1.1299999999999999E-3</v>
      </c>
      <c r="F114">
        <f>wyniki!$A$133</f>
        <v>0</v>
      </c>
      <c r="J114" s="93">
        <f t="shared" si="5"/>
        <v>0</v>
      </c>
      <c r="K114" s="80">
        <f>LARGE($E$2:$E$241,113)</f>
        <v>2E-3</v>
      </c>
      <c r="L114" s="72">
        <f t="shared" si="6"/>
        <v>200</v>
      </c>
      <c r="M114" s="93">
        <f t="shared" si="7"/>
        <v>0</v>
      </c>
      <c r="N114" s="39">
        <v>113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2:26" ht="17.25" thickTop="1" thickBot="1">
      <c r="B115">
        <f>wyniki!B139</f>
        <v>0</v>
      </c>
      <c r="C115" s="19">
        <f>wyniki!E139</f>
        <v>0</v>
      </c>
      <c r="D115" s="18">
        <v>1.14E-3</v>
      </c>
      <c r="E115" s="19">
        <f t="shared" si="4"/>
        <v>1.14E-3</v>
      </c>
      <c r="F115">
        <f>wyniki!$A$133</f>
        <v>0</v>
      </c>
      <c r="J115" s="93">
        <f t="shared" si="5"/>
        <v>0</v>
      </c>
      <c r="K115" s="80">
        <f>LARGE($E$2:$E$241,114)</f>
        <v>1.99E-3</v>
      </c>
      <c r="L115" s="72">
        <f t="shared" si="6"/>
        <v>199</v>
      </c>
      <c r="M115" s="93">
        <f t="shared" si="7"/>
        <v>0</v>
      </c>
      <c r="N115" s="39">
        <v>114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2:26" ht="17.25" thickTop="1" thickBot="1">
      <c r="B116">
        <f>wyniki!B141</f>
        <v>0</v>
      </c>
      <c r="C116" s="19">
        <f>wyniki!E141</f>
        <v>0</v>
      </c>
      <c r="D116" s="18">
        <v>1.15E-3</v>
      </c>
      <c r="E116" s="19">
        <f t="shared" si="4"/>
        <v>1.15E-3</v>
      </c>
      <c r="F116">
        <f>wyniki!$A$140</f>
        <v>0</v>
      </c>
      <c r="J116" s="93">
        <f t="shared" si="5"/>
        <v>0</v>
      </c>
      <c r="K116" s="80">
        <f>LARGE($E$2:$E$241,115)</f>
        <v>1.98E-3</v>
      </c>
      <c r="L116" s="72">
        <f t="shared" si="6"/>
        <v>198</v>
      </c>
      <c r="M116" s="93">
        <f t="shared" si="7"/>
        <v>0</v>
      </c>
      <c r="N116" s="39">
        <v>115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2:26" ht="17.25" thickTop="1" thickBot="1">
      <c r="B117">
        <f>wyniki!B142</f>
        <v>0</v>
      </c>
      <c r="C117" s="19">
        <f>wyniki!E142</f>
        <v>0</v>
      </c>
      <c r="D117" s="18">
        <v>1.16E-3</v>
      </c>
      <c r="E117" s="19">
        <f t="shared" si="4"/>
        <v>1.16E-3</v>
      </c>
      <c r="F117">
        <f>wyniki!$A$140</f>
        <v>0</v>
      </c>
      <c r="J117" s="93">
        <f t="shared" si="5"/>
        <v>0</v>
      </c>
      <c r="K117" s="80">
        <f>LARGE($E$2:$E$241,116)</f>
        <v>1.97E-3</v>
      </c>
      <c r="L117" s="72">
        <f t="shared" si="6"/>
        <v>197</v>
      </c>
      <c r="M117" s="93">
        <f t="shared" si="7"/>
        <v>0</v>
      </c>
      <c r="N117" s="39">
        <v>116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2:26" ht="17.25" thickTop="1" thickBot="1">
      <c r="B118">
        <f>wyniki!B143</f>
        <v>0</v>
      </c>
      <c r="C118" s="19">
        <f>wyniki!E143</f>
        <v>0</v>
      </c>
      <c r="D118" s="18">
        <v>1.17E-3</v>
      </c>
      <c r="E118" s="19">
        <f t="shared" si="4"/>
        <v>1.17E-3</v>
      </c>
      <c r="F118">
        <f>wyniki!$A$140</f>
        <v>0</v>
      </c>
      <c r="J118" s="93">
        <f t="shared" si="5"/>
        <v>0</v>
      </c>
      <c r="K118" s="80">
        <f>LARGE($E$2:$E$241,117)</f>
        <v>1.9599999999999999E-3</v>
      </c>
      <c r="L118" s="72">
        <f t="shared" si="6"/>
        <v>196</v>
      </c>
      <c r="M118" s="93">
        <f t="shared" si="7"/>
        <v>0</v>
      </c>
      <c r="N118" s="39">
        <v>117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2:26" ht="17.25" thickTop="1" thickBot="1">
      <c r="B119">
        <f>wyniki!B144</f>
        <v>0</v>
      </c>
      <c r="C119" s="19">
        <f>wyniki!E144</f>
        <v>0</v>
      </c>
      <c r="D119" s="18">
        <v>1.1800000000000001E-3</v>
      </c>
      <c r="E119" s="19">
        <f t="shared" si="4"/>
        <v>1.1800000000000001E-3</v>
      </c>
      <c r="F119">
        <f>wyniki!$A$140</f>
        <v>0</v>
      </c>
      <c r="J119" s="93">
        <f t="shared" si="5"/>
        <v>0</v>
      </c>
      <c r="K119" s="80">
        <f>LARGE($E$2:$E$241,118)</f>
        <v>1.9499999999999999E-3</v>
      </c>
      <c r="L119" s="72">
        <f t="shared" si="6"/>
        <v>195</v>
      </c>
      <c r="M119" s="93">
        <f t="shared" si="7"/>
        <v>0</v>
      </c>
      <c r="N119" s="39">
        <v>118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2:26" ht="17.25" thickTop="1" thickBot="1">
      <c r="B120">
        <f>wyniki!B145</f>
        <v>0</v>
      </c>
      <c r="C120" s="19">
        <f>wyniki!E145</f>
        <v>0</v>
      </c>
      <c r="D120" s="18">
        <v>1.1900000000000001E-3</v>
      </c>
      <c r="E120" s="19">
        <f t="shared" si="4"/>
        <v>1.1900000000000001E-3</v>
      </c>
      <c r="F120">
        <f>wyniki!$A$140</f>
        <v>0</v>
      </c>
      <c r="J120" s="93">
        <f t="shared" si="5"/>
        <v>0</v>
      </c>
      <c r="K120" s="80">
        <f>LARGE($E$2:$E$241,119)</f>
        <v>1.9400000000000001E-3</v>
      </c>
      <c r="L120" s="72">
        <f t="shared" si="6"/>
        <v>194</v>
      </c>
      <c r="M120" s="93">
        <f t="shared" si="7"/>
        <v>0</v>
      </c>
      <c r="N120" s="39">
        <v>119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2:26" ht="17.25" thickTop="1" thickBot="1">
      <c r="B121">
        <f>wyniki!B146</f>
        <v>0</v>
      </c>
      <c r="C121" s="19">
        <f>wyniki!E146</f>
        <v>0</v>
      </c>
      <c r="D121" s="18">
        <v>1.1999999999999999E-3</v>
      </c>
      <c r="E121" s="19">
        <f t="shared" si="4"/>
        <v>1.1999999999999999E-3</v>
      </c>
      <c r="F121">
        <f>wyniki!$A$140</f>
        <v>0</v>
      </c>
      <c r="J121" s="93">
        <f t="shared" si="5"/>
        <v>0</v>
      </c>
      <c r="K121" s="80">
        <f>LARGE($E$2:$E$241,120)</f>
        <v>1.9300000000000001E-3</v>
      </c>
      <c r="L121" s="72">
        <f t="shared" si="6"/>
        <v>193</v>
      </c>
      <c r="M121" s="93">
        <f t="shared" si="7"/>
        <v>0</v>
      </c>
      <c r="N121" s="39">
        <v>120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2:26" ht="17.25" thickTop="1" thickBot="1">
      <c r="B122">
        <f>wyniki!B148</f>
        <v>0</v>
      </c>
      <c r="C122" s="19">
        <f>wyniki!E148</f>
        <v>0</v>
      </c>
      <c r="D122" s="18">
        <v>1.2099999999999999E-3</v>
      </c>
      <c r="E122" s="19">
        <f t="shared" si="4"/>
        <v>1.2099999999999999E-3</v>
      </c>
      <c r="F122">
        <f>wyniki!$A$147</f>
        <v>0</v>
      </c>
      <c r="J122" s="93">
        <f t="shared" si="5"/>
        <v>0</v>
      </c>
      <c r="K122" s="80">
        <f>LARGE($E$2:$E$241,121)</f>
        <v>1.92E-3</v>
      </c>
      <c r="L122" s="72">
        <f t="shared" si="6"/>
        <v>192</v>
      </c>
      <c r="M122" s="93">
        <f t="shared" si="7"/>
        <v>0</v>
      </c>
      <c r="N122" s="39">
        <v>121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2:26" ht="17.25" thickTop="1" thickBot="1">
      <c r="B123">
        <f>wyniki!B149</f>
        <v>0</v>
      </c>
      <c r="C123" s="19">
        <f>wyniki!E149</f>
        <v>0</v>
      </c>
      <c r="D123" s="18">
        <v>1.2199999999999999E-3</v>
      </c>
      <c r="E123" s="19">
        <f t="shared" si="4"/>
        <v>1.2199999999999999E-3</v>
      </c>
      <c r="F123">
        <f>wyniki!$A$147</f>
        <v>0</v>
      </c>
      <c r="J123" s="93">
        <f t="shared" si="5"/>
        <v>0</v>
      </c>
      <c r="K123" s="80">
        <f>LARGE($E$2:$E$241,122)</f>
        <v>1.91E-3</v>
      </c>
      <c r="L123" s="72">
        <f t="shared" si="6"/>
        <v>191</v>
      </c>
      <c r="M123" s="93">
        <f t="shared" si="7"/>
        <v>0</v>
      </c>
      <c r="N123" s="39">
        <v>122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2:26" ht="17.25" thickTop="1" thickBot="1">
      <c r="B124">
        <f>wyniki!B150</f>
        <v>0</v>
      </c>
      <c r="C124" s="19">
        <f>wyniki!E150</f>
        <v>0</v>
      </c>
      <c r="D124" s="18">
        <v>1.23E-3</v>
      </c>
      <c r="E124" s="19">
        <f t="shared" si="4"/>
        <v>1.23E-3</v>
      </c>
      <c r="F124">
        <f>wyniki!$A$147</f>
        <v>0</v>
      </c>
      <c r="J124" s="93">
        <f t="shared" si="5"/>
        <v>0</v>
      </c>
      <c r="K124" s="80">
        <f>LARGE($E$2:$E$241,123)</f>
        <v>1.9E-3</v>
      </c>
      <c r="L124" s="72">
        <f t="shared" si="6"/>
        <v>190</v>
      </c>
      <c r="M124" s="93">
        <f t="shared" si="7"/>
        <v>0</v>
      </c>
      <c r="N124" s="39">
        <v>123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2:26" ht="17.25" thickTop="1" thickBot="1">
      <c r="B125">
        <f>wyniki!B151</f>
        <v>0</v>
      </c>
      <c r="C125" s="19">
        <f>wyniki!E151</f>
        <v>0</v>
      </c>
      <c r="D125" s="18">
        <v>1.24E-3</v>
      </c>
      <c r="E125" s="19">
        <f t="shared" si="4"/>
        <v>1.24E-3</v>
      </c>
      <c r="F125">
        <f>wyniki!$A$147</f>
        <v>0</v>
      </c>
      <c r="J125" s="93">
        <f t="shared" si="5"/>
        <v>0</v>
      </c>
      <c r="K125" s="80">
        <f>LARGE($E$2:$E$241,124)</f>
        <v>1.89E-3</v>
      </c>
      <c r="L125" s="72">
        <f t="shared" si="6"/>
        <v>189</v>
      </c>
      <c r="M125" s="93">
        <f t="shared" si="7"/>
        <v>0</v>
      </c>
      <c r="N125" s="39">
        <v>124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2:26" ht="17.25" thickTop="1" thickBot="1">
      <c r="B126">
        <f>wyniki!B152</f>
        <v>0</v>
      </c>
      <c r="C126" s="19">
        <f>wyniki!E152</f>
        <v>0</v>
      </c>
      <c r="D126" s="18">
        <v>1.25E-3</v>
      </c>
      <c r="E126" s="19">
        <f t="shared" si="4"/>
        <v>1.25E-3</v>
      </c>
      <c r="F126">
        <f>wyniki!$A$147</f>
        <v>0</v>
      </c>
      <c r="J126" s="93">
        <f t="shared" si="5"/>
        <v>0</v>
      </c>
      <c r="K126" s="80">
        <f>LARGE($E$2:$E$241,125)</f>
        <v>1.8799999999999999E-3</v>
      </c>
      <c r="L126" s="72">
        <f t="shared" si="6"/>
        <v>188</v>
      </c>
      <c r="M126" s="93">
        <f t="shared" si="7"/>
        <v>0</v>
      </c>
      <c r="N126" s="39">
        <v>125</v>
      </c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2:26" ht="17.25" thickTop="1" thickBot="1">
      <c r="B127">
        <f>wyniki!B153</f>
        <v>0</v>
      </c>
      <c r="C127" s="19">
        <f>wyniki!E153</f>
        <v>0</v>
      </c>
      <c r="D127" s="18">
        <v>1.2600000000000001E-3</v>
      </c>
      <c r="E127" s="19">
        <f t="shared" si="4"/>
        <v>1.2600000000000001E-3</v>
      </c>
      <c r="F127">
        <f>wyniki!$A$147</f>
        <v>0</v>
      </c>
      <c r="J127" s="93">
        <f t="shared" si="5"/>
        <v>0</v>
      </c>
      <c r="K127" s="80">
        <f>LARGE($E$2:$E$241,126)</f>
        <v>1.8699999999999999E-3</v>
      </c>
      <c r="L127" s="72">
        <f t="shared" si="6"/>
        <v>187</v>
      </c>
      <c r="M127" s="93">
        <f t="shared" si="7"/>
        <v>0</v>
      </c>
      <c r="N127" s="39">
        <v>126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2:26" ht="17.25" thickTop="1" thickBot="1">
      <c r="B128">
        <f>wyniki!B155</f>
        <v>0</v>
      </c>
      <c r="C128" s="19">
        <f>wyniki!E155</f>
        <v>0</v>
      </c>
      <c r="D128" s="18">
        <v>1.2700000000000001E-3</v>
      </c>
      <c r="E128" s="19">
        <f t="shared" si="4"/>
        <v>1.2700000000000001E-3</v>
      </c>
      <c r="F128">
        <f>wyniki!$A$154</f>
        <v>0</v>
      </c>
      <c r="J128" s="93">
        <f t="shared" si="5"/>
        <v>0</v>
      </c>
      <c r="K128" s="80">
        <f>LARGE($E$2:$E$241,127)</f>
        <v>1.8600000000000001E-3</v>
      </c>
      <c r="L128" s="72">
        <f t="shared" si="6"/>
        <v>186</v>
      </c>
      <c r="M128" s="93">
        <f t="shared" si="7"/>
        <v>0</v>
      </c>
      <c r="N128" s="39">
        <v>127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7.25" thickTop="1" thickBot="1">
      <c r="B129">
        <f>wyniki!B156</f>
        <v>0</v>
      </c>
      <c r="C129" s="19">
        <f>wyniki!E156</f>
        <v>0</v>
      </c>
      <c r="D129" s="18">
        <v>1.2800000000000001E-3</v>
      </c>
      <c r="E129" s="19">
        <f t="shared" si="4"/>
        <v>1.2800000000000001E-3</v>
      </c>
      <c r="F129">
        <f>wyniki!$A$154</f>
        <v>0</v>
      </c>
      <c r="J129" s="93">
        <f t="shared" si="5"/>
        <v>0</v>
      </c>
      <c r="K129" s="80">
        <f>LARGE($E$2:$E$241,128)</f>
        <v>1.8500000000000001E-3</v>
      </c>
      <c r="L129" s="72">
        <f t="shared" si="6"/>
        <v>185</v>
      </c>
      <c r="M129" s="93">
        <f t="shared" si="7"/>
        <v>0</v>
      </c>
      <c r="N129" s="39">
        <v>128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7.25" thickTop="1" thickBot="1">
      <c r="B130">
        <f>wyniki!B157</f>
        <v>0</v>
      </c>
      <c r="C130" s="19">
        <f>wyniki!E157</f>
        <v>0</v>
      </c>
      <c r="D130" s="18">
        <v>1.2899999999999999E-3</v>
      </c>
      <c r="E130" s="19">
        <f t="shared" si="4"/>
        <v>1.2899999999999999E-3</v>
      </c>
      <c r="F130">
        <f>wyniki!$A$154</f>
        <v>0</v>
      </c>
      <c r="J130" s="93">
        <f t="shared" si="5"/>
        <v>0</v>
      </c>
      <c r="K130" s="80">
        <f>LARGE($E$2:$E$241,129)</f>
        <v>1.8400000000000001E-3</v>
      </c>
      <c r="L130" s="72">
        <f t="shared" si="6"/>
        <v>184</v>
      </c>
      <c r="M130" s="93">
        <f t="shared" si="7"/>
        <v>0</v>
      </c>
      <c r="N130" s="39">
        <v>129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ht="17.25" thickTop="1" thickBot="1">
      <c r="B131">
        <f>wyniki!B158</f>
        <v>0</v>
      </c>
      <c r="C131" s="19">
        <f>wyniki!E158</f>
        <v>0</v>
      </c>
      <c r="D131" s="18">
        <v>1.2999999999999999E-3</v>
      </c>
      <c r="E131" s="19">
        <f t="shared" ref="E131:E194" si="8">C131+D131</f>
        <v>1.2999999999999999E-3</v>
      </c>
      <c r="F131">
        <f>wyniki!$A$154</f>
        <v>0</v>
      </c>
      <c r="J131" s="93">
        <f t="shared" ref="J131:J194" si="9">INDEX($B$2:$E$241,L131,1)</f>
        <v>0</v>
      </c>
      <c r="K131" s="80">
        <f>LARGE($E$2:$E$241,130)</f>
        <v>1.83E-3</v>
      </c>
      <c r="L131" s="72">
        <f t="shared" ref="L131:L194" si="10">MATCH(K131,$E$2:$E$241,0)</f>
        <v>183</v>
      </c>
      <c r="M131" s="93">
        <f t="shared" ref="M131:M194" si="11">INDEX($E$2:$F$241,L131,2)</f>
        <v>0</v>
      </c>
      <c r="N131" s="39">
        <v>130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ht="17.25" thickTop="1" thickBot="1">
      <c r="B132">
        <f>wyniki!B159</f>
        <v>0</v>
      </c>
      <c r="C132" s="19">
        <f>wyniki!E159</f>
        <v>0</v>
      </c>
      <c r="D132" s="18">
        <v>1.31E-3</v>
      </c>
      <c r="E132" s="19">
        <f t="shared" si="8"/>
        <v>1.31E-3</v>
      </c>
      <c r="F132">
        <f>wyniki!$A$154</f>
        <v>0</v>
      </c>
      <c r="J132" s="93">
        <f t="shared" si="9"/>
        <v>0</v>
      </c>
      <c r="K132" s="80">
        <f>LARGE($E$2:$E$241,131)</f>
        <v>1.82E-3</v>
      </c>
      <c r="L132" s="72">
        <f t="shared" si="10"/>
        <v>182</v>
      </c>
      <c r="M132" s="93">
        <f t="shared" si="11"/>
        <v>0</v>
      </c>
      <c r="N132" s="39">
        <v>131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ht="17.25" thickTop="1" thickBot="1">
      <c r="B133">
        <f>wyniki!B160</f>
        <v>0</v>
      </c>
      <c r="C133" s="19">
        <f>wyniki!E160</f>
        <v>0</v>
      </c>
      <c r="D133" s="18">
        <v>1.32E-3</v>
      </c>
      <c r="E133" s="19">
        <f t="shared" si="8"/>
        <v>1.32E-3</v>
      </c>
      <c r="F133">
        <f>wyniki!$A$154</f>
        <v>0</v>
      </c>
      <c r="J133" s="93">
        <f t="shared" si="9"/>
        <v>0</v>
      </c>
      <c r="K133" s="80">
        <f>LARGE($E$2:$E$241,132)</f>
        <v>1.81E-3</v>
      </c>
      <c r="L133" s="72">
        <f t="shared" si="10"/>
        <v>181</v>
      </c>
      <c r="M133" s="93">
        <f t="shared" si="11"/>
        <v>0</v>
      </c>
      <c r="N133" s="39">
        <v>132</v>
      </c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ht="17.25" thickTop="1" thickBot="1">
      <c r="B134">
        <f>wyniki!B162</f>
        <v>0</v>
      </c>
      <c r="C134" s="19">
        <f>wyniki!E162</f>
        <v>0</v>
      </c>
      <c r="D134" s="18">
        <v>1.33E-3</v>
      </c>
      <c r="E134" s="19">
        <f t="shared" si="8"/>
        <v>1.33E-3</v>
      </c>
      <c r="F134">
        <f>wyniki!$A$161</f>
        <v>0</v>
      </c>
      <c r="J134" s="93">
        <f t="shared" si="9"/>
        <v>0</v>
      </c>
      <c r="K134" s="80">
        <f>LARGE($E$2:$E$241,133)</f>
        <v>1.8E-3</v>
      </c>
      <c r="L134" s="72">
        <f t="shared" si="10"/>
        <v>180</v>
      </c>
      <c r="M134" s="93">
        <f t="shared" si="11"/>
        <v>0</v>
      </c>
      <c r="N134" s="39">
        <v>133</v>
      </c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ht="17.25" thickTop="1" thickBot="1">
      <c r="B135">
        <f>wyniki!B163</f>
        <v>0</v>
      </c>
      <c r="C135" s="19">
        <f>wyniki!E163</f>
        <v>0</v>
      </c>
      <c r="D135" s="18">
        <v>1.34E-3</v>
      </c>
      <c r="E135" s="19">
        <f t="shared" si="8"/>
        <v>1.34E-3</v>
      </c>
      <c r="F135">
        <f>wyniki!$A$161</f>
        <v>0</v>
      </c>
      <c r="J135" s="93">
        <f t="shared" si="9"/>
        <v>0</v>
      </c>
      <c r="K135" s="80">
        <f>LARGE($E$2:$E$241,134)</f>
        <v>1.7899999999999999E-3</v>
      </c>
      <c r="L135" s="72">
        <f t="shared" si="10"/>
        <v>179</v>
      </c>
      <c r="M135" s="93">
        <f t="shared" si="11"/>
        <v>0</v>
      </c>
      <c r="N135" s="39">
        <v>134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7.25" thickTop="1" thickBot="1">
      <c r="B136">
        <f>wyniki!B164</f>
        <v>0</v>
      </c>
      <c r="C136" s="19">
        <f>wyniki!E164</f>
        <v>0</v>
      </c>
      <c r="D136" s="18">
        <v>1.3500000000000001E-3</v>
      </c>
      <c r="E136" s="19">
        <f t="shared" si="8"/>
        <v>1.3500000000000001E-3</v>
      </c>
      <c r="F136">
        <f>wyniki!$A$161</f>
        <v>0</v>
      </c>
      <c r="J136" s="93">
        <f t="shared" si="9"/>
        <v>0</v>
      </c>
      <c r="K136" s="80">
        <f>LARGE($E$2:$E$241,135)</f>
        <v>1.7799999999999999E-3</v>
      </c>
      <c r="L136" s="72">
        <f t="shared" si="10"/>
        <v>178</v>
      </c>
      <c r="M136" s="93">
        <f t="shared" si="11"/>
        <v>0</v>
      </c>
      <c r="N136" s="39">
        <v>135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7.25" thickTop="1" thickBot="1">
      <c r="B137">
        <f>wyniki!B165</f>
        <v>0</v>
      </c>
      <c r="C137" s="19">
        <f>wyniki!E165</f>
        <v>0</v>
      </c>
      <c r="D137" s="18">
        <v>1.3600000000000001E-3</v>
      </c>
      <c r="E137" s="19">
        <f t="shared" si="8"/>
        <v>1.3600000000000001E-3</v>
      </c>
      <c r="F137">
        <f>wyniki!$A$161</f>
        <v>0</v>
      </c>
      <c r="J137" s="93">
        <f t="shared" si="9"/>
        <v>0</v>
      </c>
      <c r="K137" s="80">
        <f>LARGE($E$2:$E$241,136)</f>
        <v>1.7700000000000001E-3</v>
      </c>
      <c r="L137" s="72">
        <f t="shared" si="10"/>
        <v>177</v>
      </c>
      <c r="M137" s="93">
        <f t="shared" si="11"/>
        <v>0</v>
      </c>
      <c r="N137" s="39">
        <v>136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7.25" thickTop="1" thickBot="1">
      <c r="B138">
        <f>wyniki!B166</f>
        <v>0</v>
      </c>
      <c r="C138" s="19">
        <f>wyniki!E166</f>
        <v>0</v>
      </c>
      <c r="D138" s="18">
        <v>1.3699999999999999E-3</v>
      </c>
      <c r="E138" s="19">
        <f t="shared" si="8"/>
        <v>1.3699999999999999E-3</v>
      </c>
      <c r="F138">
        <f>wyniki!$A$161</f>
        <v>0</v>
      </c>
      <c r="J138" s="93">
        <f t="shared" si="9"/>
        <v>0</v>
      </c>
      <c r="K138" s="80">
        <f>LARGE($E$2:$E$241,137)</f>
        <v>1.7600000000000001E-3</v>
      </c>
      <c r="L138" s="72">
        <f t="shared" si="10"/>
        <v>176</v>
      </c>
      <c r="M138" s="93">
        <f t="shared" si="11"/>
        <v>0</v>
      </c>
      <c r="N138" s="39">
        <v>137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ht="17.25" thickTop="1" thickBot="1">
      <c r="B139">
        <f>wyniki!B167</f>
        <v>0</v>
      </c>
      <c r="C139" s="19">
        <f>wyniki!E167</f>
        <v>0</v>
      </c>
      <c r="D139" s="18">
        <v>1.3799999999999999E-3</v>
      </c>
      <c r="E139" s="19">
        <f t="shared" si="8"/>
        <v>1.3799999999999999E-3</v>
      </c>
      <c r="F139">
        <f>wyniki!$A$161</f>
        <v>0</v>
      </c>
      <c r="J139" s="93">
        <f t="shared" si="9"/>
        <v>0</v>
      </c>
      <c r="K139" s="80">
        <f>LARGE($E$2:$E$241,138)</f>
        <v>1.75E-3</v>
      </c>
      <c r="L139" s="72">
        <f t="shared" si="10"/>
        <v>175</v>
      </c>
      <c r="M139" s="93">
        <f t="shared" si="11"/>
        <v>0</v>
      </c>
      <c r="N139" s="39">
        <v>138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ht="17.25" thickTop="1" thickBot="1">
      <c r="B140">
        <f>wyniki!B169</f>
        <v>0</v>
      </c>
      <c r="C140" s="19">
        <f>wyniki!E169</f>
        <v>0</v>
      </c>
      <c r="D140" s="18">
        <v>1.39E-3</v>
      </c>
      <c r="E140" s="19">
        <f t="shared" si="8"/>
        <v>1.39E-3</v>
      </c>
      <c r="F140">
        <f>wyniki!$A$168</f>
        <v>0</v>
      </c>
      <c r="J140" s="93">
        <f t="shared" si="9"/>
        <v>0</v>
      </c>
      <c r="K140" s="80">
        <f>LARGE($E$2:$E$241,139)</f>
        <v>1.74E-3</v>
      </c>
      <c r="L140" s="72">
        <f t="shared" si="10"/>
        <v>174</v>
      </c>
      <c r="M140" s="93">
        <f t="shared" si="11"/>
        <v>0</v>
      </c>
      <c r="N140" s="39">
        <v>139</v>
      </c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ht="17.25" thickTop="1" thickBot="1">
      <c r="B141">
        <f>wyniki!B170</f>
        <v>0</v>
      </c>
      <c r="C141" s="19">
        <f>wyniki!E170</f>
        <v>0</v>
      </c>
      <c r="D141" s="18">
        <v>1.4E-3</v>
      </c>
      <c r="E141" s="19">
        <f t="shared" si="8"/>
        <v>1.4E-3</v>
      </c>
      <c r="F141">
        <f>wyniki!$A$168</f>
        <v>0</v>
      </c>
      <c r="J141" s="93">
        <f t="shared" si="9"/>
        <v>0</v>
      </c>
      <c r="K141" s="80">
        <f>LARGE($E$2:$E$241,140)</f>
        <v>1.73E-3</v>
      </c>
      <c r="L141" s="72">
        <f t="shared" si="10"/>
        <v>173</v>
      </c>
      <c r="M141" s="93">
        <f t="shared" si="11"/>
        <v>0</v>
      </c>
      <c r="N141" s="39">
        <v>140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ht="17.25" thickTop="1" thickBot="1">
      <c r="B142">
        <f>wyniki!B171</f>
        <v>0</v>
      </c>
      <c r="C142" s="19">
        <f>wyniki!E171</f>
        <v>0</v>
      </c>
      <c r="D142" s="18">
        <v>1.41E-3</v>
      </c>
      <c r="E142" s="19">
        <f t="shared" si="8"/>
        <v>1.41E-3</v>
      </c>
      <c r="F142">
        <f>wyniki!$A$168</f>
        <v>0</v>
      </c>
      <c r="J142" s="93">
        <f t="shared" si="9"/>
        <v>0</v>
      </c>
      <c r="K142" s="80">
        <f>LARGE($E$2:$E$241,141)</f>
        <v>1.72E-3</v>
      </c>
      <c r="L142" s="72">
        <f t="shared" si="10"/>
        <v>172</v>
      </c>
      <c r="M142" s="93">
        <f t="shared" si="11"/>
        <v>0</v>
      </c>
      <c r="N142" s="39">
        <v>141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ht="17.25" thickTop="1" thickBot="1">
      <c r="B143">
        <f>wyniki!B172</f>
        <v>0</v>
      </c>
      <c r="C143" s="19">
        <f>wyniki!E172</f>
        <v>0</v>
      </c>
      <c r="D143" s="18">
        <v>1.42E-3</v>
      </c>
      <c r="E143" s="19">
        <f t="shared" si="8"/>
        <v>1.42E-3</v>
      </c>
      <c r="F143">
        <f>wyniki!$A$168</f>
        <v>0</v>
      </c>
      <c r="J143" s="93">
        <f t="shared" si="9"/>
        <v>0</v>
      </c>
      <c r="K143" s="80">
        <f>LARGE($E$2:$E$241,142)</f>
        <v>1.7099999999999999E-3</v>
      </c>
      <c r="L143" s="72">
        <f t="shared" si="10"/>
        <v>171</v>
      </c>
      <c r="M143" s="93">
        <f t="shared" si="11"/>
        <v>0</v>
      </c>
      <c r="N143" s="39">
        <v>142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 ht="17.25" thickTop="1" thickBot="1">
      <c r="B144">
        <f>wyniki!B173</f>
        <v>0</v>
      </c>
      <c r="C144" s="19">
        <f>wyniki!E173</f>
        <v>0</v>
      </c>
      <c r="D144" s="18">
        <v>1.4300000000000001E-3</v>
      </c>
      <c r="E144" s="19">
        <f t="shared" si="8"/>
        <v>1.4300000000000001E-3</v>
      </c>
      <c r="F144">
        <f>wyniki!$A$168</f>
        <v>0</v>
      </c>
      <c r="J144" s="93">
        <f t="shared" si="9"/>
        <v>0</v>
      </c>
      <c r="K144" s="80">
        <f>LARGE($E$2:$E$241,143)</f>
        <v>1.6999999999999999E-3</v>
      </c>
      <c r="L144" s="72">
        <f t="shared" si="10"/>
        <v>170</v>
      </c>
      <c r="M144" s="93">
        <f t="shared" si="11"/>
        <v>0</v>
      </c>
      <c r="N144" s="39">
        <v>143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ht="17.25" thickTop="1" thickBot="1">
      <c r="B145">
        <f>wyniki!B174</f>
        <v>0</v>
      </c>
      <c r="C145" s="19">
        <f>wyniki!E174</f>
        <v>0</v>
      </c>
      <c r="D145" s="18">
        <v>1.4400000000000001E-3</v>
      </c>
      <c r="E145" s="19">
        <f t="shared" si="8"/>
        <v>1.4400000000000001E-3</v>
      </c>
      <c r="F145">
        <f>wyniki!$A$168</f>
        <v>0</v>
      </c>
      <c r="J145" s="93">
        <f t="shared" si="9"/>
        <v>0</v>
      </c>
      <c r="K145" s="80">
        <f>LARGE($E$2:$E$241,144)</f>
        <v>1.6900000000000001E-3</v>
      </c>
      <c r="L145" s="72">
        <f t="shared" si="10"/>
        <v>169</v>
      </c>
      <c r="M145" s="93">
        <f t="shared" si="11"/>
        <v>0</v>
      </c>
      <c r="N145" s="39">
        <v>144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ht="17.25" thickTop="1" thickBot="1">
      <c r="B146">
        <f>wyniki!B176</f>
        <v>0</v>
      </c>
      <c r="C146" s="19">
        <f>wyniki!E176</f>
        <v>0</v>
      </c>
      <c r="D146" s="18">
        <v>1.4499999999999999E-3</v>
      </c>
      <c r="E146" s="19">
        <f t="shared" si="8"/>
        <v>1.4499999999999999E-3</v>
      </c>
      <c r="F146">
        <f>wyniki!$A$175</f>
        <v>0</v>
      </c>
      <c r="J146" s="93">
        <f t="shared" si="9"/>
        <v>0</v>
      </c>
      <c r="K146" s="80">
        <f>LARGE($E$2:$E$241,145)</f>
        <v>1.6800000000000001E-3</v>
      </c>
      <c r="L146" s="72">
        <f t="shared" si="10"/>
        <v>168</v>
      </c>
      <c r="M146" s="93">
        <f t="shared" si="11"/>
        <v>0</v>
      </c>
      <c r="N146" s="39">
        <v>145</v>
      </c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ht="17.25" thickTop="1" thickBot="1">
      <c r="B147">
        <f>wyniki!B177</f>
        <v>0</v>
      </c>
      <c r="C147" s="19">
        <f>wyniki!E177</f>
        <v>0</v>
      </c>
      <c r="D147" s="18">
        <v>1.4599999999999999E-3</v>
      </c>
      <c r="E147" s="19">
        <f t="shared" si="8"/>
        <v>1.4599999999999999E-3</v>
      </c>
      <c r="F147">
        <f>wyniki!$A$175</f>
        <v>0</v>
      </c>
      <c r="J147" s="93">
        <f t="shared" si="9"/>
        <v>0</v>
      </c>
      <c r="K147" s="80">
        <f>LARGE($E$2:$E$241,146)</f>
        <v>1.67E-3</v>
      </c>
      <c r="L147" s="72">
        <f t="shared" si="10"/>
        <v>167</v>
      </c>
      <c r="M147" s="93">
        <f t="shared" si="11"/>
        <v>0</v>
      </c>
      <c r="N147" s="39">
        <v>146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ht="17.25" thickTop="1" thickBot="1">
      <c r="B148">
        <f>wyniki!B178</f>
        <v>0</v>
      </c>
      <c r="C148" s="19">
        <f>wyniki!E178</f>
        <v>0</v>
      </c>
      <c r="D148" s="18">
        <v>1.47E-3</v>
      </c>
      <c r="E148" s="19">
        <f t="shared" si="8"/>
        <v>1.47E-3</v>
      </c>
      <c r="F148">
        <f>wyniki!$A$175</f>
        <v>0</v>
      </c>
      <c r="J148" s="93">
        <f t="shared" si="9"/>
        <v>0</v>
      </c>
      <c r="K148" s="80">
        <f>LARGE($E$2:$E$241,147)</f>
        <v>1.66E-3</v>
      </c>
      <c r="L148" s="72">
        <f t="shared" si="10"/>
        <v>166</v>
      </c>
      <c r="M148" s="93">
        <f t="shared" si="11"/>
        <v>0</v>
      </c>
      <c r="N148" s="39">
        <v>147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7.25" thickTop="1" thickBot="1">
      <c r="B149">
        <f>wyniki!B179</f>
        <v>0</v>
      </c>
      <c r="C149" s="19">
        <f>wyniki!E179</f>
        <v>0</v>
      </c>
      <c r="D149" s="18">
        <v>1.48E-3</v>
      </c>
      <c r="E149" s="19">
        <f t="shared" si="8"/>
        <v>1.48E-3</v>
      </c>
      <c r="F149">
        <f>wyniki!$A$175</f>
        <v>0</v>
      </c>
      <c r="J149" s="93">
        <f t="shared" si="9"/>
        <v>0</v>
      </c>
      <c r="K149" s="80">
        <f>LARGE($E$2:$E$241,148)</f>
        <v>1.65E-3</v>
      </c>
      <c r="L149" s="72">
        <f t="shared" si="10"/>
        <v>165</v>
      </c>
      <c r="M149" s="93">
        <f t="shared" si="11"/>
        <v>0</v>
      </c>
      <c r="N149" s="39">
        <v>148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ht="17.25" thickTop="1" thickBot="1">
      <c r="B150">
        <f>wyniki!B180</f>
        <v>0</v>
      </c>
      <c r="C150" s="19">
        <f>wyniki!E180</f>
        <v>0</v>
      </c>
      <c r="D150" s="18">
        <v>1.49E-3</v>
      </c>
      <c r="E150" s="19">
        <f t="shared" si="8"/>
        <v>1.49E-3</v>
      </c>
      <c r="F150">
        <f>wyniki!$A$175</f>
        <v>0</v>
      </c>
      <c r="J150" s="93">
        <f t="shared" si="9"/>
        <v>0</v>
      </c>
      <c r="K150" s="80">
        <f>LARGE($E$2:$E$241,149)</f>
        <v>1.64E-3</v>
      </c>
      <c r="L150" s="72">
        <f t="shared" si="10"/>
        <v>164</v>
      </c>
      <c r="M150" s="93">
        <f t="shared" si="11"/>
        <v>0</v>
      </c>
      <c r="N150" s="39">
        <v>149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ht="17.25" thickTop="1" thickBot="1">
      <c r="B151">
        <f>wyniki!B181</f>
        <v>0</v>
      </c>
      <c r="C151" s="19">
        <f>wyniki!E181</f>
        <v>0</v>
      </c>
      <c r="D151" s="18">
        <v>1.5E-3</v>
      </c>
      <c r="E151" s="19">
        <f t="shared" si="8"/>
        <v>1.5E-3</v>
      </c>
      <c r="F151">
        <f>wyniki!$A$175</f>
        <v>0</v>
      </c>
      <c r="J151" s="93">
        <f t="shared" si="9"/>
        <v>0</v>
      </c>
      <c r="K151" s="80">
        <f>LARGE($E$2:$E$241,150)</f>
        <v>1.6299999999999999E-3</v>
      </c>
      <c r="L151" s="72">
        <f t="shared" si="10"/>
        <v>163</v>
      </c>
      <c r="M151" s="93">
        <f t="shared" si="11"/>
        <v>0</v>
      </c>
      <c r="N151" s="39">
        <v>150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ht="17.25" thickTop="1" thickBot="1">
      <c r="B152">
        <f>wyniki!B183</f>
        <v>0</v>
      </c>
      <c r="C152" s="19">
        <f>wyniki!E183</f>
        <v>0</v>
      </c>
      <c r="D152" s="18">
        <v>1.5100000000000001E-3</v>
      </c>
      <c r="E152" s="19">
        <f t="shared" si="8"/>
        <v>1.5100000000000001E-3</v>
      </c>
      <c r="F152">
        <f>wyniki!$A$182</f>
        <v>0</v>
      </c>
      <c r="J152" s="93">
        <f t="shared" si="9"/>
        <v>0</v>
      </c>
      <c r="K152" s="80">
        <f>LARGE($E$2:$E$241,151)</f>
        <v>1.6199999999999999E-3</v>
      </c>
      <c r="L152" s="72">
        <f t="shared" si="10"/>
        <v>162</v>
      </c>
      <c r="M152" s="93">
        <f t="shared" si="11"/>
        <v>0</v>
      </c>
      <c r="N152" s="39">
        <v>151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7.25" thickTop="1" thickBot="1">
      <c r="B153">
        <f>wyniki!B184</f>
        <v>0</v>
      </c>
      <c r="C153" s="19">
        <f>wyniki!E184</f>
        <v>0</v>
      </c>
      <c r="D153" s="18">
        <v>1.5200000000000001E-3</v>
      </c>
      <c r="E153" s="19">
        <f t="shared" si="8"/>
        <v>1.5200000000000001E-3</v>
      </c>
      <c r="F153">
        <f>wyniki!$A$182</f>
        <v>0</v>
      </c>
      <c r="J153" s="93">
        <f t="shared" si="9"/>
        <v>0</v>
      </c>
      <c r="K153" s="80">
        <f>LARGE($E$2:$E$241,152)</f>
        <v>1.6100000000000001E-3</v>
      </c>
      <c r="L153" s="72">
        <f t="shared" si="10"/>
        <v>161</v>
      </c>
      <c r="M153" s="93">
        <f t="shared" si="11"/>
        <v>0</v>
      </c>
      <c r="N153" s="39">
        <v>152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7.25" thickTop="1" thickBot="1">
      <c r="B154">
        <f>wyniki!B185</f>
        <v>0</v>
      </c>
      <c r="C154" s="19">
        <f>wyniki!E185</f>
        <v>0</v>
      </c>
      <c r="D154" s="18">
        <v>1.5299999999999999E-3</v>
      </c>
      <c r="E154" s="19">
        <f t="shared" si="8"/>
        <v>1.5299999999999999E-3</v>
      </c>
      <c r="F154">
        <f>wyniki!$A$182</f>
        <v>0</v>
      </c>
      <c r="J154" s="93">
        <f t="shared" si="9"/>
        <v>0</v>
      </c>
      <c r="K154" s="80">
        <f>LARGE($E$2:$E$241,153)</f>
        <v>1.6000000000000001E-3</v>
      </c>
      <c r="L154" s="72">
        <f t="shared" si="10"/>
        <v>160</v>
      </c>
      <c r="M154" s="93">
        <f t="shared" si="11"/>
        <v>0</v>
      </c>
      <c r="N154" s="39">
        <v>153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ht="17.25" thickTop="1" thickBot="1">
      <c r="B155">
        <f>wyniki!B186</f>
        <v>0</v>
      </c>
      <c r="C155" s="19">
        <f>wyniki!E186</f>
        <v>0</v>
      </c>
      <c r="D155" s="18">
        <v>1.5399999999999999E-3</v>
      </c>
      <c r="E155" s="19">
        <f t="shared" si="8"/>
        <v>1.5399999999999999E-3</v>
      </c>
      <c r="F155">
        <f>wyniki!$A$182</f>
        <v>0</v>
      </c>
      <c r="J155" s="93">
        <f t="shared" si="9"/>
        <v>0</v>
      </c>
      <c r="K155" s="80">
        <f>LARGE($E$2:$E$241,154)</f>
        <v>1.5900000000000001E-3</v>
      </c>
      <c r="L155" s="72">
        <f t="shared" si="10"/>
        <v>159</v>
      </c>
      <c r="M155" s="93">
        <f t="shared" si="11"/>
        <v>0</v>
      </c>
      <c r="N155" s="39">
        <v>154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ht="17.25" thickTop="1" thickBot="1">
      <c r="B156">
        <f>wyniki!B187</f>
        <v>0</v>
      </c>
      <c r="C156" s="19">
        <f>wyniki!E187</f>
        <v>0</v>
      </c>
      <c r="D156" s="18">
        <v>1.5499999999999999E-3</v>
      </c>
      <c r="E156" s="19">
        <f t="shared" si="8"/>
        <v>1.5499999999999999E-3</v>
      </c>
      <c r="F156">
        <f>wyniki!$A$182</f>
        <v>0</v>
      </c>
      <c r="J156" s="93">
        <f t="shared" si="9"/>
        <v>0</v>
      </c>
      <c r="K156" s="80">
        <f>LARGE($E$2:$E$241,155)</f>
        <v>1.58E-3</v>
      </c>
      <c r="L156" s="72">
        <f t="shared" si="10"/>
        <v>158</v>
      </c>
      <c r="M156" s="93">
        <f t="shared" si="11"/>
        <v>0</v>
      </c>
      <c r="N156" s="39">
        <v>155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ht="17.25" thickTop="1" thickBot="1">
      <c r="B157">
        <f>wyniki!B188</f>
        <v>0</v>
      </c>
      <c r="C157" s="19">
        <f>wyniki!E188</f>
        <v>0</v>
      </c>
      <c r="D157" s="18">
        <v>1.56E-3</v>
      </c>
      <c r="E157" s="19">
        <f t="shared" si="8"/>
        <v>1.56E-3</v>
      </c>
      <c r="F157">
        <f>wyniki!$A$182</f>
        <v>0</v>
      </c>
      <c r="J157" s="93">
        <f t="shared" si="9"/>
        <v>0</v>
      </c>
      <c r="K157" s="80">
        <f>LARGE($E$2:$E$241,156)</f>
        <v>1.57E-3</v>
      </c>
      <c r="L157" s="72">
        <f t="shared" si="10"/>
        <v>157</v>
      </c>
      <c r="M157" s="93">
        <f t="shared" si="11"/>
        <v>0</v>
      </c>
      <c r="N157" s="39">
        <v>156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ht="17.25" thickTop="1" thickBot="1">
      <c r="B158">
        <f>wyniki!B190</f>
        <v>0</v>
      </c>
      <c r="C158" s="19">
        <f>wyniki!E190</f>
        <v>0</v>
      </c>
      <c r="D158" s="18">
        <v>1.57E-3</v>
      </c>
      <c r="E158" s="19">
        <f t="shared" si="8"/>
        <v>1.57E-3</v>
      </c>
      <c r="F158">
        <f>wyniki!$A$189</f>
        <v>0</v>
      </c>
      <c r="J158" s="93">
        <f t="shared" si="9"/>
        <v>0</v>
      </c>
      <c r="K158" s="80">
        <f>LARGE($E$2:$E$241,157)</f>
        <v>1.56E-3</v>
      </c>
      <c r="L158" s="72">
        <f t="shared" si="10"/>
        <v>156</v>
      </c>
      <c r="M158" s="93">
        <f t="shared" si="11"/>
        <v>0</v>
      </c>
      <c r="N158" s="39">
        <v>157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ht="17.25" thickTop="1" thickBot="1">
      <c r="B159">
        <f>wyniki!B191</f>
        <v>0</v>
      </c>
      <c r="C159" s="19">
        <f>wyniki!E191</f>
        <v>0</v>
      </c>
      <c r="D159" s="18">
        <v>1.58E-3</v>
      </c>
      <c r="E159" s="19">
        <f t="shared" si="8"/>
        <v>1.58E-3</v>
      </c>
      <c r="F159">
        <f>wyniki!$A$189</f>
        <v>0</v>
      </c>
      <c r="J159" s="93">
        <f t="shared" si="9"/>
        <v>0</v>
      </c>
      <c r="K159" s="80">
        <f>LARGE($E$2:$E$241,158)</f>
        <v>1.5499999999999999E-3</v>
      </c>
      <c r="L159" s="72">
        <f t="shared" si="10"/>
        <v>155</v>
      </c>
      <c r="M159" s="93">
        <f t="shared" si="11"/>
        <v>0</v>
      </c>
      <c r="N159" s="39">
        <v>158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ht="17.25" thickTop="1" thickBot="1">
      <c r="B160">
        <f>wyniki!B192</f>
        <v>0</v>
      </c>
      <c r="C160" s="19">
        <f>wyniki!E192</f>
        <v>0</v>
      </c>
      <c r="D160" s="18">
        <v>1.5900000000000001E-3</v>
      </c>
      <c r="E160" s="19">
        <f t="shared" si="8"/>
        <v>1.5900000000000001E-3</v>
      </c>
      <c r="F160">
        <f>wyniki!$A$189</f>
        <v>0</v>
      </c>
      <c r="J160" s="93">
        <f t="shared" si="9"/>
        <v>0</v>
      </c>
      <c r="K160" s="80">
        <f>LARGE($E$2:$E$241,159)</f>
        <v>1.5399999999999999E-3</v>
      </c>
      <c r="L160" s="72">
        <f t="shared" si="10"/>
        <v>154</v>
      </c>
      <c r="M160" s="93">
        <f t="shared" si="11"/>
        <v>0</v>
      </c>
      <c r="N160" s="39">
        <v>159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ht="17.25" thickTop="1" thickBot="1">
      <c r="B161">
        <f>wyniki!B193</f>
        <v>0</v>
      </c>
      <c r="C161" s="19">
        <f>wyniki!E193</f>
        <v>0</v>
      </c>
      <c r="D161" s="18">
        <v>1.6000000000000001E-3</v>
      </c>
      <c r="E161" s="19">
        <f t="shared" si="8"/>
        <v>1.6000000000000001E-3</v>
      </c>
      <c r="F161">
        <f>wyniki!$A$189</f>
        <v>0</v>
      </c>
      <c r="J161" s="93">
        <f t="shared" si="9"/>
        <v>0</v>
      </c>
      <c r="K161" s="80">
        <f>LARGE($E$2:$E$241,160)</f>
        <v>1.5299999999999999E-3</v>
      </c>
      <c r="L161" s="72">
        <f t="shared" si="10"/>
        <v>153</v>
      </c>
      <c r="M161" s="93">
        <f t="shared" si="11"/>
        <v>0</v>
      </c>
      <c r="N161" s="39">
        <v>160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ht="17.25" thickTop="1" thickBot="1">
      <c r="B162">
        <f>wyniki!B194</f>
        <v>0</v>
      </c>
      <c r="C162" s="19">
        <f>wyniki!E194</f>
        <v>0</v>
      </c>
      <c r="D162" s="18">
        <v>1.6100000000000001E-3</v>
      </c>
      <c r="E162" s="19">
        <f t="shared" si="8"/>
        <v>1.6100000000000001E-3</v>
      </c>
      <c r="F162">
        <f>wyniki!$A$189</f>
        <v>0</v>
      </c>
      <c r="J162" s="93">
        <f t="shared" si="9"/>
        <v>0</v>
      </c>
      <c r="K162" s="80">
        <f>LARGE($E$2:$E$241,161)</f>
        <v>1.5200000000000001E-3</v>
      </c>
      <c r="L162" s="72">
        <f t="shared" si="10"/>
        <v>152</v>
      </c>
      <c r="M162" s="93">
        <f t="shared" si="11"/>
        <v>0</v>
      </c>
      <c r="N162" s="39">
        <v>161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ht="17.25" thickTop="1" thickBot="1">
      <c r="B163">
        <f>wyniki!B195</f>
        <v>0</v>
      </c>
      <c r="C163" s="19">
        <f>wyniki!E195</f>
        <v>0</v>
      </c>
      <c r="D163" s="18">
        <v>1.6199999999999999E-3</v>
      </c>
      <c r="E163" s="19">
        <f t="shared" si="8"/>
        <v>1.6199999999999999E-3</v>
      </c>
      <c r="F163">
        <f>wyniki!$A$189</f>
        <v>0</v>
      </c>
      <c r="J163" s="93">
        <f t="shared" si="9"/>
        <v>0</v>
      </c>
      <c r="K163" s="80">
        <f>LARGE($E$2:$E$241,162)</f>
        <v>1.5100000000000001E-3</v>
      </c>
      <c r="L163" s="72">
        <f t="shared" si="10"/>
        <v>151</v>
      </c>
      <c r="M163" s="93">
        <f t="shared" si="11"/>
        <v>0</v>
      </c>
      <c r="N163" s="39">
        <v>162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7.25" thickTop="1" thickBot="1">
      <c r="B164">
        <f>wyniki!B197</f>
        <v>0</v>
      </c>
      <c r="C164" s="19">
        <f>wyniki!E197</f>
        <v>0</v>
      </c>
      <c r="D164" s="18">
        <v>1.6299999999999999E-3</v>
      </c>
      <c r="E164" s="19">
        <f t="shared" si="8"/>
        <v>1.6299999999999999E-3</v>
      </c>
      <c r="F164">
        <f>wyniki!$A$196</f>
        <v>0</v>
      </c>
      <c r="J164" s="93">
        <f t="shared" si="9"/>
        <v>0</v>
      </c>
      <c r="K164" s="80">
        <f>LARGE($E$2:$E$241,163)</f>
        <v>1.5E-3</v>
      </c>
      <c r="L164" s="72">
        <f t="shared" si="10"/>
        <v>150</v>
      </c>
      <c r="M164" s="93">
        <f t="shared" si="11"/>
        <v>0</v>
      </c>
      <c r="N164" s="39">
        <v>163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ht="17.25" thickTop="1" thickBot="1">
      <c r="B165">
        <f>wyniki!B198</f>
        <v>0</v>
      </c>
      <c r="C165" s="19">
        <f>wyniki!E198</f>
        <v>0</v>
      </c>
      <c r="D165" s="18">
        <v>1.64E-3</v>
      </c>
      <c r="E165" s="19">
        <f t="shared" si="8"/>
        <v>1.64E-3</v>
      </c>
      <c r="F165">
        <f>wyniki!$A$196</f>
        <v>0</v>
      </c>
      <c r="J165" s="93">
        <f t="shared" si="9"/>
        <v>0</v>
      </c>
      <c r="K165" s="80">
        <f>LARGE($E$2:$E$241,164)</f>
        <v>1.49E-3</v>
      </c>
      <c r="L165" s="72">
        <f t="shared" si="10"/>
        <v>149</v>
      </c>
      <c r="M165" s="93">
        <f t="shared" si="11"/>
        <v>0</v>
      </c>
      <c r="N165" s="39">
        <v>164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ht="17.25" thickTop="1" thickBot="1">
      <c r="B166">
        <f>wyniki!B199</f>
        <v>0</v>
      </c>
      <c r="C166" s="19">
        <f>wyniki!E199</f>
        <v>0</v>
      </c>
      <c r="D166" s="18">
        <v>1.65E-3</v>
      </c>
      <c r="E166" s="19">
        <f t="shared" si="8"/>
        <v>1.65E-3</v>
      </c>
      <c r="F166">
        <f>wyniki!$A$196</f>
        <v>0</v>
      </c>
      <c r="J166" s="93">
        <f t="shared" si="9"/>
        <v>0</v>
      </c>
      <c r="K166" s="80">
        <f>LARGE($E$2:$E$241,165)</f>
        <v>1.48E-3</v>
      </c>
      <c r="L166" s="72">
        <f t="shared" si="10"/>
        <v>148</v>
      </c>
      <c r="M166" s="93">
        <f t="shared" si="11"/>
        <v>0</v>
      </c>
      <c r="N166" s="39">
        <v>165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ht="17.25" thickTop="1" thickBot="1">
      <c r="B167">
        <f>wyniki!B200</f>
        <v>0</v>
      </c>
      <c r="C167" s="19">
        <f>wyniki!E200</f>
        <v>0</v>
      </c>
      <c r="D167" s="18">
        <v>1.66E-3</v>
      </c>
      <c r="E167" s="19">
        <f t="shared" si="8"/>
        <v>1.66E-3</v>
      </c>
      <c r="F167">
        <f>wyniki!$A$196</f>
        <v>0</v>
      </c>
      <c r="J167" s="93">
        <f t="shared" si="9"/>
        <v>0</v>
      </c>
      <c r="K167" s="80">
        <f>LARGE($E$2:$E$241,166)</f>
        <v>1.47E-3</v>
      </c>
      <c r="L167" s="72">
        <f t="shared" si="10"/>
        <v>147</v>
      </c>
      <c r="M167" s="93">
        <f t="shared" si="11"/>
        <v>0</v>
      </c>
      <c r="N167" s="39">
        <v>166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ht="17.25" thickTop="1" thickBot="1">
      <c r="B168">
        <f>wyniki!B201</f>
        <v>0</v>
      </c>
      <c r="C168" s="19">
        <f>wyniki!E201</f>
        <v>0</v>
      </c>
      <c r="D168" s="18">
        <v>1.67E-3</v>
      </c>
      <c r="E168" s="19">
        <f t="shared" si="8"/>
        <v>1.67E-3</v>
      </c>
      <c r="F168">
        <f>wyniki!$A$196</f>
        <v>0</v>
      </c>
      <c r="J168" s="93">
        <f t="shared" si="9"/>
        <v>0</v>
      </c>
      <c r="K168" s="80">
        <f>LARGE($E$2:$E$241,167)</f>
        <v>1.4599999999999999E-3</v>
      </c>
      <c r="L168" s="72">
        <f t="shared" si="10"/>
        <v>146</v>
      </c>
      <c r="M168" s="93">
        <f t="shared" si="11"/>
        <v>0</v>
      </c>
      <c r="N168" s="39">
        <v>167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ht="17.25" thickTop="1" thickBot="1">
      <c r="B169">
        <f>wyniki!B202</f>
        <v>0</v>
      </c>
      <c r="C169" s="19">
        <f>wyniki!E202</f>
        <v>0</v>
      </c>
      <c r="D169" s="18">
        <v>1.6800000000000001E-3</v>
      </c>
      <c r="E169" s="19">
        <f t="shared" si="8"/>
        <v>1.6800000000000001E-3</v>
      </c>
      <c r="F169">
        <f>wyniki!$A$196</f>
        <v>0</v>
      </c>
      <c r="J169" s="93">
        <f t="shared" si="9"/>
        <v>0</v>
      </c>
      <c r="K169" s="80">
        <f>LARGE($E$2:$E$241,168)</f>
        <v>1.4499999999999999E-3</v>
      </c>
      <c r="L169" s="72">
        <f t="shared" si="10"/>
        <v>145</v>
      </c>
      <c r="M169" s="93">
        <f t="shared" si="11"/>
        <v>0</v>
      </c>
      <c r="N169" s="39">
        <v>168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ht="17.25" thickTop="1" thickBot="1">
      <c r="B170">
        <f>wyniki!B204</f>
        <v>0</v>
      </c>
      <c r="C170" s="19">
        <f>wyniki!E204</f>
        <v>0</v>
      </c>
      <c r="D170" s="18">
        <v>1.6900000000000001E-3</v>
      </c>
      <c r="E170" s="19">
        <f t="shared" si="8"/>
        <v>1.6900000000000001E-3</v>
      </c>
      <c r="F170">
        <f>wyniki!$A$203</f>
        <v>0</v>
      </c>
      <c r="J170" s="93">
        <f t="shared" si="9"/>
        <v>0</v>
      </c>
      <c r="K170" s="80">
        <f>LARGE($E$2:$E$241,169)</f>
        <v>1.4400000000000001E-3</v>
      </c>
      <c r="L170" s="72">
        <f t="shared" si="10"/>
        <v>144</v>
      </c>
      <c r="M170" s="93">
        <f t="shared" si="11"/>
        <v>0</v>
      </c>
      <c r="N170" s="39">
        <v>169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ht="17.25" thickTop="1" thickBot="1">
      <c r="B171">
        <f>wyniki!B205</f>
        <v>0</v>
      </c>
      <c r="C171" s="19">
        <f>wyniki!E205</f>
        <v>0</v>
      </c>
      <c r="D171" s="18">
        <v>1.6999999999999999E-3</v>
      </c>
      <c r="E171" s="19">
        <f t="shared" si="8"/>
        <v>1.6999999999999999E-3</v>
      </c>
      <c r="F171">
        <f>wyniki!$A$203</f>
        <v>0</v>
      </c>
      <c r="J171" s="93">
        <f t="shared" si="9"/>
        <v>0</v>
      </c>
      <c r="K171" s="80">
        <f>LARGE($E$2:$E$241,170)</f>
        <v>1.4300000000000001E-3</v>
      </c>
      <c r="L171" s="72">
        <f t="shared" si="10"/>
        <v>143</v>
      </c>
      <c r="M171" s="93">
        <f t="shared" si="11"/>
        <v>0</v>
      </c>
      <c r="N171" s="39">
        <v>170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 ht="17.25" thickTop="1" thickBot="1">
      <c r="B172">
        <f>wyniki!B206</f>
        <v>0</v>
      </c>
      <c r="C172" s="19">
        <f>wyniki!E206</f>
        <v>0</v>
      </c>
      <c r="D172" s="18">
        <v>1.7099999999999999E-3</v>
      </c>
      <c r="E172" s="19">
        <f t="shared" si="8"/>
        <v>1.7099999999999999E-3</v>
      </c>
      <c r="F172">
        <f>wyniki!$A$203</f>
        <v>0</v>
      </c>
      <c r="J172" s="93">
        <f t="shared" si="9"/>
        <v>0</v>
      </c>
      <c r="K172" s="80">
        <f>LARGE($E$2:$E$241,171)</f>
        <v>1.42E-3</v>
      </c>
      <c r="L172" s="72">
        <f t="shared" si="10"/>
        <v>142</v>
      </c>
      <c r="M172" s="93">
        <f t="shared" si="11"/>
        <v>0</v>
      </c>
      <c r="N172" s="39">
        <v>171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 ht="17.25" thickTop="1" thickBot="1">
      <c r="B173">
        <f>wyniki!B207</f>
        <v>0</v>
      </c>
      <c r="C173" s="19">
        <f>wyniki!E207</f>
        <v>0</v>
      </c>
      <c r="D173" s="18">
        <v>1.72E-3</v>
      </c>
      <c r="E173" s="19">
        <f t="shared" si="8"/>
        <v>1.72E-3</v>
      </c>
      <c r="F173">
        <f>wyniki!$A$203</f>
        <v>0</v>
      </c>
      <c r="J173" s="93">
        <f t="shared" si="9"/>
        <v>0</v>
      </c>
      <c r="K173" s="80">
        <f>LARGE($E$2:$E$241,172)</f>
        <v>1.41E-3</v>
      </c>
      <c r="L173" s="72">
        <f t="shared" si="10"/>
        <v>141</v>
      </c>
      <c r="M173" s="93">
        <f t="shared" si="11"/>
        <v>0</v>
      </c>
      <c r="N173" s="39">
        <v>172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 ht="17.25" thickTop="1" thickBot="1">
      <c r="B174">
        <f>wyniki!B208</f>
        <v>0</v>
      </c>
      <c r="C174" s="19">
        <f>wyniki!E208</f>
        <v>0</v>
      </c>
      <c r="D174" s="18">
        <v>1.73E-3</v>
      </c>
      <c r="E174" s="19">
        <f t="shared" si="8"/>
        <v>1.73E-3</v>
      </c>
      <c r="F174">
        <f>wyniki!$A$203</f>
        <v>0</v>
      </c>
      <c r="J174" s="93">
        <f t="shared" si="9"/>
        <v>0</v>
      </c>
      <c r="K174" s="80">
        <f>LARGE($E$2:$E$241,173)</f>
        <v>1.4E-3</v>
      </c>
      <c r="L174" s="72">
        <f t="shared" si="10"/>
        <v>140</v>
      </c>
      <c r="M174" s="93">
        <f t="shared" si="11"/>
        <v>0</v>
      </c>
      <c r="N174" s="39">
        <v>173</v>
      </c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 ht="17.25" thickTop="1" thickBot="1">
      <c r="B175">
        <f>wyniki!B209</f>
        <v>0</v>
      </c>
      <c r="C175" s="19">
        <f>wyniki!E209</f>
        <v>0</v>
      </c>
      <c r="D175" s="18">
        <v>1.74E-3</v>
      </c>
      <c r="E175" s="19">
        <f t="shared" si="8"/>
        <v>1.74E-3</v>
      </c>
      <c r="F175">
        <f>wyniki!$A$203</f>
        <v>0</v>
      </c>
      <c r="J175" s="93">
        <f t="shared" si="9"/>
        <v>0</v>
      </c>
      <c r="K175" s="80">
        <f>LARGE($E$2:$E$241,174)</f>
        <v>1.39E-3</v>
      </c>
      <c r="L175" s="72">
        <f t="shared" si="10"/>
        <v>139</v>
      </c>
      <c r="M175" s="93">
        <f t="shared" si="11"/>
        <v>0</v>
      </c>
      <c r="N175" s="39">
        <v>174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 ht="17.25" thickTop="1" thickBot="1">
      <c r="B176">
        <f>wyniki!B211</f>
        <v>0</v>
      </c>
      <c r="C176" s="19">
        <f>wyniki!E211</f>
        <v>0</v>
      </c>
      <c r="D176" s="18">
        <v>1.75E-3</v>
      </c>
      <c r="E176" s="19">
        <f t="shared" si="8"/>
        <v>1.75E-3</v>
      </c>
      <c r="F176">
        <f>wyniki!$A$210</f>
        <v>0</v>
      </c>
      <c r="J176" s="93">
        <f t="shared" si="9"/>
        <v>0</v>
      </c>
      <c r="K176" s="80">
        <f>LARGE($E$2:$E$241,175)</f>
        <v>1.3799999999999999E-3</v>
      </c>
      <c r="L176" s="72">
        <f t="shared" si="10"/>
        <v>138</v>
      </c>
      <c r="M176" s="93">
        <f t="shared" si="11"/>
        <v>0</v>
      </c>
      <c r="N176" s="39">
        <v>175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 ht="17.25" thickTop="1" thickBot="1">
      <c r="B177">
        <f>wyniki!B212</f>
        <v>0</v>
      </c>
      <c r="C177" s="19">
        <f>wyniki!E212</f>
        <v>0</v>
      </c>
      <c r="D177" s="18">
        <v>1.7600000000000001E-3</v>
      </c>
      <c r="E177" s="19">
        <f t="shared" si="8"/>
        <v>1.7600000000000001E-3</v>
      </c>
      <c r="F177">
        <f>wyniki!$A$210</f>
        <v>0</v>
      </c>
      <c r="J177" s="93">
        <f t="shared" si="9"/>
        <v>0</v>
      </c>
      <c r="K177" s="80">
        <f>LARGE($E$2:$E$241,176)</f>
        <v>1.3699999999999999E-3</v>
      </c>
      <c r="L177" s="72">
        <f t="shared" si="10"/>
        <v>137</v>
      </c>
      <c r="M177" s="93">
        <f t="shared" si="11"/>
        <v>0</v>
      </c>
      <c r="N177" s="39">
        <v>176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 ht="17.25" thickTop="1" thickBot="1">
      <c r="B178">
        <f>wyniki!B213</f>
        <v>0</v>
      </c>
      <c r="C178" s="19">
        <f>wyniki!E213</f>
        <v>0</v>
      </c>
      <c r="D178" s="18">
        <v>1.7700000000000001E-3</v>
      </c>
      <c r="E178" s="19">
        <f t="shared" si="8"/>
        <v>1.7700000000000001E-3</v>
      </c>
      <c r="F178">
        <f>wyniki!$A$210</f>
        <v>0</v>
      </c>
      <c r="J178" s="93">
        <f t="shared" si="9"/>
        <v>0</v>
      </c>
      <c r="K178" s="80">
        <f>LARGE($E$2:$E$241,177)</f>
        <v>1.3600000000000001E-3</v>
      </c>
      <c r="L178" s="72">
        <f t="shared" si="10"/>
        <v>136</v>
      </c>
      <c r="M178" s="93">
        <f t="shared" si="11"/>
        <v>0</v>
      </c>
      <c r="N178" s="39">
        <v>177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 ht="17.25" thickTop="1" thickBot="1">
      <c r="B179">
        <f>wyniki!B214</f>
        <v>0</v>
      </c>
      <c r="C179" s="19">
        <f>wyniki!E214</f>
        <v>0</v>
      </c>
      <c r="D179" s="18">
        <v>1.7799999999999999E-3</v>
      </c>
      <c r="E179" s="19">
        <f t="shared" si="8"/>
        <v>1.7799999999999999E-3</v>
      </c>
      <c r="F179">
        <f>wyniki!$A$210</f>
        <v>0</v>
      </c>
      <c r="J179" s="93">
        <f t="shared" si="9"/>
        <v>0</v>
      </c>
      <c r="K179" s="80">
        <f>LARGE($E$2:$E$241,178)</f>
        <v>1.3500000000000001E-3</v>
      </c>
      <c r="L179" s="72">
        <f t="shared" si="10"/>
        <v>135</v>
      </c>
      <c r="M179" s="93">
        <f t="shared" si="11"/>
        <v>0</v>
      </c>
      <c r="N179" s="39">
        <v>178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 ht="17.25" thickTop="1" thickBot="1">
      <c r="B180">
        <f>wyniki!B215</f>
        <v>0</v>
      </c>
      <c r="C180" s="19">
        <f>wyniki!E215</f>
        <v>0</v>
      </c>
      <c r="D180" s="18">
        <v>1.7899999999999999E-3</v>
      </c>
      <c r="E180" s="19">
        <f t="shared" si="8"/>
        <v>1.7899999999999999E-3</v>
      </c>
      <c r="F180">
        <f>wyniki!$A$210</f>
        <v>0</v>
      </c>
      <c r="J180" s="93">
        <f t="shared" si="9"/>
        <v>0</v>
      </c>
      <c r="K180" s="80">
        <f>LARGE($E$2:$E$241,179)</f>
        <v>1.34E-3</v>
      </c>
      <c r="L180" s="72">
        <f t="shared" si="10"/>
        <v>134</v>
      </c>
      <c r="M180" s="93">
        <f t="shared" si="11"/>
        <v>0</v>
      </c>
      <c r="N180" s="39">
        <v>179</v>
      </c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 ht="17.25" thickTop="1" thickBot="1">
      <c r="B181">
        <f>wyniki!B216</f>
        <v>0</v>
      </c>
      <c r="C181" s="19">
        <f>wyniki!E216</f>
        <v>0</v>
      </c>
      <c r="D181" s="18">
        <v>1.8E-3</v>
      </c>
      <c r="E181" s="19">
        <f t="shared" si="8"/>
        <v>1.8E-3</v>
      </c>
      <c r="F181">
        <f>wyniki!$A$210</f>
        <v>0</v>
      </c>
      <c r="J181" s="93">
        <f t="shared" si="9"/>
        <v>0</v>
      </c>
      <c r="K181" s="80">
        <f>LARGE($E$2:$E$241,180)</f>
        <v>1.33E-3</v>
      </c>
      <c r="L181" s="72">
        <f t="shared" si="10"/>
        <v>133</v>
      </c>
      <c r="M181" s="93">
        <f t="shared" si="11"/>
        <v>0</v>
      </c>
      <c r="N181" s="39">
        <v>180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 ht="17.25" thickTop="1" thickBot="1">
      <c r="B182">
        <f>wyniki!B218</f>
        <v>0</v>
      </c>
      <c r="C182" s="19">
        <f>wyniki!E218</f>
        <v>0</v>
      </c>
      <c r="D182" s="18">
        <v>1.81E-3</v>
      </c>
      <c r="E182" s="19">
        <f t="shared" si="8"/>
        <v>1.81E-3</v>
      </c>
      <c r="F182">
        <f>wyniki!$A$217</f>
        <v>0</v>
      </c>
      <c r="J182" s="93">
        <f t="shared" si="9"/>
        <v>0</v>
      </c>
      <c r="K182" s="80">
        <f>LARGE($E$2:$E$241,181)</f>
        <v>1.32E-3</v>
      </c>
      <c r="L182" s="72">
        <f t="shared" si="10"/>
        <v>132</v>
      </c>
      <c r="M182" s="93">
        <f t="shared" si="11"/>
        <v>0</v>
      </c>
      <c r="N182" s="39">
        <v>181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 ht="17.25" thickTop="1" thickBot="1">
      <c r="B183">
        <f>wyniki!B219</f>
        <v>0</v>
      </c>
      <c r="C183" s="19">
        <f>wyniki!E219</f>
        <v>0</v>
      </c>
      <c r="D183" s="18">
        <v>1.82E-3</v>
      </c>
      <c r="E183" s="19">
        <f t="shared" si="8"/>
        <v>1.82E-3</v>
      </c>
      <c r="F183">
        <f>wyniki!$A$217</f>
        <v>0</v>
      </c>
      <c r="J183" s="93">
        <f t="shared" si="9"/>
        <v>0</v>
      </c>
      <c r="K183" s="80">
        <f>LARGE($E$2:$E$241,182)</f>
        <v>1.31E-3</v>
      </c>
      <c r="L183" s="72">
        <f t="shared" si="10"/>
        <v>131</v>
      </c>
      <c r="M183" s="93">
        <f t="shared" si="11"/>
        <v>0</v>
      </c>
      <c r="N183" s="39">
        <v>182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 ht="17.25" thickTop="1" thickBot="1">
      <c r="B184">
        <f>wyniki!B220</f>
        <v>0</v>
      </c>
      <c r="C184" s="19">
        <f>wyniki!E220</f>
        <v>0</v>
      </c>
      <c r="D184" s="18">
        <v>1.83E-3</v>
      </c>
      <c r="E184" s="19">
        <f t="shared" si="8"/>
        <v>1.83E-3</v>
      </c>
      <c r="F184">
        <f>wyniki!$A$217</f>
        <v>0</v>
      </c>
      <c r="J184" s="93">
        <f t="shared" si="9"/>
        <v>0</v>
      </c>
      <c r="K184" s="80">
        <f>LARGE($E$2:$E$241,183)</f>
        <v>1.2999999999999999E-3</v>
      </c>
      <c r="L184" s="72">
        <f t="shared" si="10"/>
        <v>130</v>
      </c>
      <c r="M184" s="93">
        <f t="shared" si="11"/>
        <v>0</v>
      </c>
      <c r="N184" s="39">
        <v>183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 ht="17.25" thickTop="1" thickBot="1">
      <c r="B185">
        <f>wyniki!B221</f>
        <v>0</v>
      </c>
      <c r="C185" s="19">
        <f>wyniki!E221</f>
        <v>0</v>
      </c>
      <c r="D185" s="18">
        <v>1.8400000000000001E-3</v>
      </c>
      <c r="E185" s="19">
        <f t="shared" si="8"/>
        <v>1.8400000000000001E-3</v>
      </c>
      <c r="F185">
        <f>wyniki!$A$217</f>
        <v>0</v>
      </c>
      <c r="J185" s="93">
        <f t="shared" si="9"/>
        <v>0</v>
      </c>
      <c r="K185" s="80">
        <f>LARGE($E$2:$E$241,184)</f>
        <v>1.2899999999999999E-3</v>
      </c>
      <c r="L185" s="72">
        <f t="shared" si="10"/>
        <v>129</v>
      </c>
      <c r="M185" s="93">
        <f t="shared" si="11"/>
        <v>0</v>
      </c>
      <c r="N185" s="39">
        <v>184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 ht="17.25" thickTop="1" thickBot="1">
      <c r="B186">
        <f>wyniki!B222</f>
        <v>0</v>
      </c>
      <c r="C186" s="19">
        <f>wyniki!E222</f>
        <v>0</v>
      </c>
      <c r="D186" s="18">
        <v>1.8500000000000001E-3</v>
      </c>
      <c r="E186" s="19">
        <f t="shared" si="8"/>
        <v>1.8500000000000001E-3</v>
      </c>
      <c r="F186">
        <f>wyniki!$A$217</f>
        <v>0</v>
      </c>
      <c r="J186" s="93">
        <f t="shared" si="9"/>
        <v>0</v>
      </c>
      <c r="K186" s="80">
        <f>LARGE($E$2:$E$241,185)</f>
        <v>1.2800000000000001E-3</v>
      </c>
      <c r="L186" s="72">
        <f t="shared" si="10"/>
        <v>128</v>
      </c>
      <c r="M186" s="93">
        <f t="shared" si="11"/>
        <v>0</v>
      </c>
      <c r="N186" s="39">
        <v>185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 ht="17.25" thickTop="1" thickBot="1">
      <c r="B187">
        <f>wyniki!B223</f>
        <v>0</v>
      </c>
      <c r="C187" s="19">
        <f>wyniki!E223</f>
        <v>0</v>
      </c>
      <c r="D187" s="18">
        <v>1.8600000000000001E-3</v>
      </c>
      <c r="E187" s="19">
        <f t="shared" si="8"/>
        <v>1.8600000000000001E-3</v>
      </c>
      <c r="F187">
        <f>wyniki!$A$217</f>
        <v>0</v>
      </c>
      <c r="J187" s="93">
        <f t="shared" si="9"/>
        <v>0</v>
      </c>
      <c r="K187" s="80">
        <f>LARGE($E$2:$E$241,186)</f>
        <v>1.2700000000000001E-3</v>
      </c>
      <c r="L187" s="72">
        <f t="shared" si="10"/>
        <v>127</v>
      </c>
      <c r="M187" s="93">
        <f t="shared" si="11"/>
        <v>0</v>
      </c>
      <c r="N187" s="39">
        <v>186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 ht="17.25" thickTop="1" thickBot="1">
      <c r="B188">
        <f>wyniki!B225</f>
        <v>0</v>
      </c>
      <c r="C188" s="19">
        <f>wyniki!E225</f>
        <v>0</v>
      </c>
      <c r="D188" s="18">
        <v>1.8699999999999999E-3</v>
      </c>
      <c r="E188" s="19">
        <f t="shared" si="8"/>
        <v>1.8699999999999999E-3</v>
      </c>
      <c r="F188">
        <f>wyniki!$A$224</f>
        <v>0</v>
      </c>
      <c r="J188" s="93">
        <f t="shared" si="9"/>
        <v>0</v>
      </c>
      <c r="K188" s="80">
        <f>LARGE($E$2:$E$241,187)</f>
        <v>1.2600000000000001E-3</v>
      </c>
      <c r="L188" s="72">
        <f t="shared" si="10"/>
        <v>126</v>
      </c>
      <c r="M188" s="93">
        <f t="shared" si="11"/>
        <v>0</v>
      </c>
      <c r="N188" s="39">
        <v>187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 ht="17.25" thickTop="1" thickBot="1">
      <c r="B189">
        <f>wyniki!B226</f>
        <v>0</v>
      </c>
      <c r="C189" s="19">
        <f>wyniki!E226</f>
        <v>0</v>
      </c>
      <c r="D189" s="18">
        <v>1.8799999999999999E-3</v>
      </c>
      <c r="E189" s="19">
        <f t="shared" si="8"/>
        <v>1.8799999999999999E-3</v>
      </c>
      <c r="F189">
        <f>wyniki!$A$224</f>
        <v>0</v>
      </c>
      <c r="J189" s="93">
        <f t="shared" si="9"/>
        <v>0</v>
      </c>
      <c r="K189" s="80">
        <f>LARGE($E$2:$E$241,188)</f>
        <v>1.25E-3</v>
      </c>
      <c r="L189" s="72">
        <f t="shared" si="10"/>
        <v>125</v>
      </c>
      <c r="M189" s="93">
        <f t="shared" si="11"/>
        <v>0</v>
      </c>
      <c r="N189" s="39">
        <v>188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 ht="17.25" thickTop="1" thickBot="1">
      <c r="B190">
        <f>wyniki!B227</f>
        <v>0</v>
      </c>
      <c r="C190" s="19">
        <f>wyniki!E227</f>
        <v>0</v>
      </c>
      <c r="D190" s="18">
        <v>1.89E-3</v>
      </c>
      <c r="E190" s="19">
        <f t="shared" si="8"/>
        <v>1.89E-3</v>
      </c>
      <c r="F190">
        <f>wyniki!$A$224</f>
        <v>0</v>
      </c>
      <c r="J190" s="93">
        <f t="shared" si="9"/>
        <v>0</v>
      </c>
      <c r="K190" s="80">
        <f>LARGE($E$2:$E$241,189)</f>
        <v>1.24E-3</v>
      </c>
      <c r="L190" s="72">
        <f t="shared" si="10"/>
        <v>124</v>
      </c>
      <c r="M190" s="93">
        <f t="shared" si="11"/>
        <v>0</v>
      </c>
      <c r="N190" s="39">
        <v>189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 ht="17.25" thickTop="1" thickBot="1">
      <c r="B191">
        <f>wyniki!B228</f>
        <v>0</v>
      </c>
      <c r="C191" s="19">
        <f>wyniki!E228</f>
        <v>0</v>
      </c>
      <c r="D191" s="18">
        <v>1.9E-3</v>
      </c>
      <c r="E191" s="19">
        <f t="shared" si="8"/>
        <v>1.9E-3</v>
      </c>
      <c r="F191">
        <f>wyniki!$A$224</f>
        <v>0</v>
      </c>
      <c r="J191" s="93">
        <f t="shared" si="9"/>
        <v>0</v>
      </c>
      <c r="K191" s="80">
        <f>LARGE($E$2:$E$241,190)</f>
        <v>1.23E-3</v>
      </c>
      <c r="L191" s="72">
        <f t="shared" si="10"/>
        <v>123</v>
      </c>
      <c r="M191" s="93">
        <f t="shared" si="11"/>
        <v>0</v>
      </c>
      <c r="N191" s="39">
        <v>190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 ht="17.25" thickTop="1" thickBot="1">
      <c r="B192">
        <f>wyniki!B229</f>
        <v>0</v>
      </c>
      <c r="C192" s="19">
        <f>wyniki!E229</f>
        <v>0</v>
      </c>
      <c r="D192" s="18">
        <v>1.91E-3</v>
      </c>
      <c r="E192" s="19">
        <f t="shared" si="8"/>
        <v>1.91E-3</v>
      </c>
      <c r="F192">
        <f>wyniki!$A$224</f>
        <v>0</v>
      </c>
      <c r="J192" s="93">
        <f t="shared" si="9"/>
        <v>0</v>
      </c>
      <c r="K192" s="80">
        <f>LARGE($E$2:$E$241,191)</f>
        <v>1.2199999999999999E-3</v>
      </c>
      <c r="L192" s="72">
        <f t="shared" si="10"/>
        <v>122</v>
      </c>
      <c r="M192" s="93">
        <f t="shared" si="11"/>
        <v>0</v>
      </c>
      <c r="N192" s="39">
        <v>191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 ht="17.25" thickTop="1" thickBot="1">
      <c r="B193">
        <f>wyniki!B230</f>
        <v>0</v>
      </c>
      <c r="C193" s="19">
        <f>wyniki!E230</f>
        <v>0</v>
      </c>
      <c r="D193" s="18">
        <v>1.92E-3</v>
      </c>
      <c r="E193" s="19">
        <f t="shared" si="8"/>
        <v>1.92E-3</v>
      </c>
      <c r="F193">
        <f>wyniki!$A$224</f>
        <v>0</v>
      </c>
      <c r="J193" s="93">
        <f t="shared" si="9"/>
        <v>0</v>
      </c>
      <c r="K193" s="80">
        <f>LARGE($E$2:$E$241,192)</f>
        <v>1.2099999999999999E-3</v>
      </c>
      <c r="L193" s="72">
        <f t="shared" si="10"/>
        <v>121</v>
      </c>
      <c r="M193" s="93">
        <f t="shared" si="11"/>
        <v>0</v>
      </c>
      <c r="N193" s="39">
        <v>192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 ht="17.25" thickTop="1" thickBot="1">
      <c r="B194">
        <f>wyniki!B232</f>
        <v>0</v>
      </c>
      <c r="C194" s="19">
        <f>wyniki!E232</f>
        <v>0</v>
      </c>
      <c r="D194" s="18">
        <v>1.9300000000000001E-3</v>
      </c>
      <c r="E194" s="19">
        <f t="shared" si="8"/>
        <v>1.9300000000000001E-3</v>
      </c>
      <c r="F194">
        <f>wyniki!$A$231</f>
        <v>0</v>
      </c>
      <c r="J194" s="93">
        <f t="shared" si="9"/>
        <v>0</v>
      </c>
      <c r="K194" s="80">
        <f>LARGE($E$2:$E$241,193)</f>
        <v>1.1999999999999999E-3</v>
      </c>
      <c r="L194" s="72">
        <f t="shared" si="10"/>
        <v>120</v>
      </c>
      <c r="M194" s="93">
        <f t="shared" si="11"/>
        <v>0</v>
      </c>
      <c r="N194" s="39">
        <v>193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 ht="17.25" thickTop="1" thickBot="1">
      <c r="B195">
        <f>wyniki!B233</f>
        <v>0</v>
      </c>
      <c r="C195" s="19">
        <f>wyniki!E233</f>
        <v>0</v>
      </c>
      <c r="D195" s="18">
        <v>1.9400000000000001E-3</v>
      </c>
      <c r="E195" s="19">
        <f t="shared" ref="E195:E241" si="12">C195+D195</f>
        <v>1.9400000000000001E-3</v>
      </c>
      <c r="F195">
        <f>wyniki!$A$231</f>
        <v>0</v>
      </c>
      <c r="J195" s="93">
        <f t="shared" ref="J195:J241" si="13">INDEX($B$2:$E$241,L195,1)</f>
        <v>0</v>
      </c>
      <c r="K195" s="80">
        <f>LARGE($E$2:$E$241,194)</f>
        <v>1.1900000000000001E-3</v>
      </c>
      <c r="L195" s="72">
        <f t="shared" ref="L195:L241" si="14">MATCH(K195,$E$2:$E$241,0)</f>
        <v>119</v>
      </c>
      <c r="M195" s="93">
        <f t="shared" ref="M195:M241" si="15">INDEX($E$2:$F$241,L195,2)</f>
        <v>0</v>
      </c>
      <c r="N195" s="39">
        <v>194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 ht="17.25" thickTop="1" thickBot="1">
      <c r="B196">
        <f>wyniki!B234</f>
        <v>0</v>
      </c>
      <c r="C196" s="19">
        <f>wyniki!E234</f>
        <v>0</v>
      </c>
      <c r="D196" s="18">
        <v>1.9499999999999999E-3</v>
      </c>
      <c r="E196" s="19">
        <f t="shared" si="12"/>
        <v>1.9499999999999999E-3</v>
      </c>
      <c r="F196">
        <f>wyniki!$A$231</f>
        <v>0</v>
      </c>
      <c r="J196" s="93">
        <f t="shared" si="13"/>
        <v>0</v>
      </c>
      <c r="K196" s="80">
        <f>LARGE($E$2:$E$241,195)</f>
        <v>1.1800000000000001E-3</v>
      </c>
      <c r="L196" s="72">
        <f t="shared" si="14"/>
        <v>118</v>
      </c>
      <c r="M196" s="93">
        <f t="shared" si="15"/>
        <v>0</v>
      </c>
      <c r="N196" s="39">
        <v>195</v>
      </c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2:26" ht="17.25" thickTop="1" thickBot="1">
      <c r="B197">
        <f>wyniki!B235</f>
        <v>0</v>
      </c>
      <c r="C197" s="19">
        <f>wyniki!E235</f>
        <v>0</v>
      </c>
      <c r="D197" s="18">
        <v>1.9599999999999999E-3</v>
      </c>
      <c r="E197" s="19">
        <f t="shared" si="12"/>
        <v>1.9599999999999999E-3</v>
      </c>
      <c r="F197">
        <f>wyniki!$A$231</f>
        <v>0</v>
      </c>
      <c r="J197" s="93">
        <f t="shared" si="13"/>
        <v>0</v>
      </c>
      <c r="K197" s="80">
        <f>LARGE($E$2:$E$241,196)</f>
        <v>1.17E-3</v>
      </c>
      <c r="L197" s="72">
        <f t="shared" si="14"/>
        <v>117</v>
      </c>
      <c r="M197" s="93">
        <f t="shared" si="15"/>
        <v>0</v>
      </c>
      <c r="N197" s="39">
        <v>196</v>
      </c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2:26" ht="17.25" thickTop="1" thickBot="1">
      <c r="B198">
        <f>wyniki!B236</f>
        <v>0</v>
      </c>
      <c r="C198" s="19">
        <f>wyniki!E236</f>
        <v>0</v>
      </c>
      <c r="D198" s="18">
        <v>1.97E-3</v>
      </c>
      <c r="E198" s="19">
        <f t="shared" si="12"/>
        <v>1.97E-3</v>
      </c>
      <c r="F198">
        <f>wyniki!$A$231</f>
        <v>0</v>
      </c>
      <c r="J198" s="93">
        <f t="shared" si="13"/>
        <v>0</v>
      </c>
      <c r="K198" s="80">
        <f>LARGE($E$2:$E$241,197)</f>
        <v>1.16E-3</v>
      </c>
      <c r="L198" s="72">
        <f t="shared" si="14"/>
        <v>116</v>
      </c>
      <c r="M198" s="93">
        <f t="shared" si="15"/>
        <v>0</v>
      </c>
      <c r="N198" s="39">
        <v>197</v>
      </c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2:26" ht="17.25" thickTop="1" thickBot="1">
      <c r="B199">
        <f>wyniki!B237</f>
        <v>0</v>
      </c>
      <c r="C199" s="19">
        <f>wyniki!E237</f>
        <v>0</v>
      </c>
      <c r="D199" s="18">
        <v>1.98E-3</v>
      </c>
      <c r="E199" s="19">
        <f t="shared" si="12"/>
        <v>1.98E-3</v>
      </c>
      <c r="F199">
        <f>wyniki!$A$231</f>
        <v>0</v>
      </c>
      <c r="J199" s="93">
        <f t="shared" si="13"/>
        <v>0</v>
      </c>
      <c r="K199" s="80">
        <f>LARGE($E$2:$E$241,198)</f>
        <v>1.15E-3</v>
      </c>
      <c r="L199" s="72">
        <f t="shared" si="14"/>
        <v>115</v>
      </c>
      <c r="M199" s="93">
        <f t="shared" si="15"/>
        <v>0</v>
      </c>
      <c r="N199" s="39">
        <v>198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2:26" ht="17.25" thickTop="1" thickBot="1">
      <c r="B200">
        <f>wyniki!B239</f>
        <v>0</v>
      </c>
      <c r="C200" s="19">
        <f>wyniki!E239</f>
        <v>0</v>
      </c>
      <c r="D200" s="18">
        <v>1.99E-3</v>
      </c>
      <c r="E200" s="19">
        <f t="shared" si="12"/>
        <v>1.99E-3</v>
      </c>
      <c r="F200">
        <f>wyniki!$A$238</f>
        <v>0</v>
      </c>
      <c r="J200" s="93">
        <f t="shared" si="13"/>
        <v>0</v>
      </c>
      <c r="K200" s="80">
        <f>LARGE($E$2:$E$241,199)</f>
        <v>1.14E-3</v>
      </c>
      <c r="L200" s="72">
        <f t="shared" si="14"/>
        <v>114</v>
      </c>
      <c r="M200" s="93">
        <f t="shared" si="15"/>
        <v>0</v>
      </c>
      <c r="N200" s="39">
        <v>199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2:26" ht="17.25" thickTop="1" thickBot="1">
      <c r="B201">
        <f>wyniki!B240</f>
        <v>0</v>
      </c>
      <c r="C201" s="19">
        <f>wyniki!E240</f>
        <v>0</v>
      </c>
      <c r="D201" s="18">
        <v>2E-3</v>
      </c>
      <c r="E201" s="19">
        <f t="shared" si="12"/>
        <v>2E-3</v>
      </c>
      <c r="F201">
        <f>wyniki!$A$238</f>
        <v>0</v>
      </c>
      <c r="J201" s="93">
        <f t="shared" si="13"/>
        <v>0</v>
      </c>
      <c r="K201" s="80">
        <f>LARGE($E$2:$E$241,200)</f>
        <v>1.1299999999999999E-3</v>
      </c>
      <c r="L201" s="72">
        <f t="shared" si="14"/>
        <v>113</v>
      </c>
      <c r="M201" s="93">
        <f t="shared" si="15"/>
        <v>0</v>
      </c>
      <c r="N201" s="39">
        <v>200</v>
      </c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2:26" ht="17.25" thickTop="1" thickBot="1">
      <c r="B202">
        <f>wyniki!B241</f>
        <v>0</v>
      </c>
      <c r="C202" s="19">
        <f>wyniki!E241</f>
        <v>0</v>
      </c>
      <c r="D202" s="18">
        <v>2.0100000000000001E-3</v>
      </c>
      <c r="E202" s="19">
        <f t="shared" si="12"/>
        <v>2.0100000000000001E-3</v>
      </c>
      <c r="F202">
        <f>wyniki!$A$238</f>
        <v>0</v>
      </c>
      <c r="J202" s="93">
        <f t="shared" si="13"/>
        <v>0</v>
      </c>
      <c r="K202" s="80">
        <f>LARGE($E$2:$E$241,201)</f>
        <v>1.1199999999999999E-3</v>
      </c>
      <c r="L202" s="72">
        <f t="shared" si="14"/>
        <v>112</v>
      </c>
      <c r="M202" s="93">
        <f t="shared" si="15"/>
        <v>0</v>
      </c>
      <c r="N202" s="39">
        <v>201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2:26" ht="17.25" thickTop="1" thickBot="1">
      <c r="B203">
        <f>wyniki!B242</f>
        <v>0</v>
      </c>
      <c r="C203" s="19">
        <f>wyniki!E242</f>
        <v>0</v>
      </c>
      <c r="D203" s="18">
        <v>2.0200000000000001E-3</v>
      </c>
      <c r="E203" s="19">
        <f t="shared" si="12"/>
        <v>2.0200000000000001E-3</v>
      </c>
      <c r="F203">
        <f>wyniki!$A$238</f>
        <v>0</v>
      </c>
      <c r="J203" s="93">
        <f t="shared" si="13"/>
        <v>0</v>
      </c>
      <c r="K203" s="80">
        <f>LARGE($E$2:$E$241,202)</f>
        <v>1.1100000000000001E-3</v>
      </c>
      <c r="L203" s="72">
        <f t="shared" si="14"/>
        <v>111</v>
      </c>
      <c r="M203" s="93">
        <f t="shared" si="15"/>
        <v>0</v>
      </c>
      <c r="N203" s="39">
        <v>202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2:26" ht="17.25" thickTop="1" thickBot="1">
      <c r="B204">
        <f>wyniki!B243</f>
        <v>0</v>
      </c>
      <c r="C204" s="19">
        <f>wyniki!E243</f>
        <v>0</v>
      </c>
      <c r="D204" s="18">
        <v>2.0300000000000001E-3</v>
      </c>
      <c r="E204" s="19">
        <f t="shared" si="12"/>
        <v>2.0300000000000001E-3</v>
      </c>
      <c r="F204">
        <f>wyniki!$A$238</f>
        <v>0</v>
      </c>
      <c r="J204" s="93">
        <f t="shared" si="13"/>
        <v>0</v>
      </c>
      <c r="K204" s="80">
        <f>LARGE($E$2:$E$241,203)</f>
        <v>1.1000000000000001E-3</v>
      </c>
      <c r="L204" s="72">
        <f t="shared" si="14"/>
        <v>110</v>
      </c>
      <c r="M204" s="93">
        <f t="shared" si="15"/>
        <v>0</v>
      </c>
      <c r="N204" s="39">
        <v>203</v>
      </c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2:26" ht="17.25" thickTop="1" thickBot="1">
      <c r="B205">
        <f>wyniki!B244</f>
        <v>0</v>
      </c>
      <c r="C205" s="19">
        <f>wyniki!E244</f>
        <v>0</v>
      </c>
      <c r="D205" s="18">
        <v>2.0400000000000001E-3</v>
      </c>
      <c r="E205" s="19">
        <f t="shared" si="12"/>
        <v>2.0400000000000001E-3</v>
      </c>
      <c r="F205">
        <f>wyniki!$A$238</f>
        <v>0</v>
      </c>
      <c r="J205" s="93">
        <f t="shared" si="13"/>
        <v>0</v>
      </c>
      <c r="K205" s="80">
        <f>LARGE($E$2:$E$241,204)</f>
        <v>1.09E-3</v>
      </c>
      <c r="L205" s="72">
        <f t="shared" si="14"/>
        <v>109</v>
      </c>
      <c r="M205" s="93">
        <f t="shared" si="15"/>
        <v>0</v>
      </c>
      <c r="N205" s="39">
        <v>204</v>
      </c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2:26" ht="17.25" thickTop="1" thickBot="1">
      <c r="B206">
        <f>wyniki!B246</f>
        <v>0</v>
      </c>
      <c r="C206" s="19">
        <f>wyniki!E246</f>
        <v>0</v>
      </c>
      <c r="D206" s="18">
        <v>2.0500000000000002E-3</v>
      </c>
      <c r="E206" s="19">
        <f t="shared" si="12"/>
        <v>2.0500000000000002E-3</v>
      </c>
      <c r="F206">
        <f>wyniki!$A$245</f>
        <v>0</v>
      </c>
      <c r="J206" s="93">
        <f t="shared" si="13"/>
        <v>0</v>
      </c>
      <c r="K206" s="80">
        <f>LARGE($E$2:$E$241,205)</f>
        <v>1.08E-3</v>
      </c>
      <c r="L206" s="72">
        <f t="shared" si="14"/>
        <v>108</v>
      </c>
      <c r="M206" s="93">
        <f t="shared" si="15"/>
        <v>0</v>
      </c>
      <c r="N206" s="39">
        <v>205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7.25" thickTop="1" thickBot="1">
      <c r="B207">
        <f>wyniki!B247</f>
        <v>0</v>
      </c>
      <c r="C207" s="19">
        <f>wyniki!E247</f>
        <v>0</v>
      </c>
      <c r="D207" s="18">
        <v>2.0600000000000002E-3</v>
      </c>
      <c r="E207" s="19">
        <f t="shared" si="12"/>
        <v>2.0600000000000002E-3</v>
      </c>
      <c r="F207">
        <f>wyniki!$A$245</f>
        <v>0</v>
      </c>
      <c r="J207" s="93">
        <f t="shared" si="13"/>
        <v>0</v>
      </c>
      <c r="K207" s="80">
        <f>LARGE($E$2:$E$241,206)</f>
        <v>1.07E-3</v>
      </c>
      <c r="L207" s="72">
        <f t="shared" si="14"/>
        <v>107</v>
      </c>
      <c r="M207" s="93">
        <f t="shared" si="15"/>
        <v>0</v>
      </c>
      <c r="N207" s="39">
        <v>206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2:26" ht="17.25" thickTop="1" thickBot="1">
      <c r="B208">
        <f>wyniki!B248</f>
        <v>0</v>
      </c>
      <c r="C208" s="19">
        <f>wyniki!E248</f>
        <v>0</v>
      </c>
      <c r="D208" s="18">
        <v>2.0699999999999998E-3</v>
      </c>
      <c r="E208" s="19">
        <f t="shared" si="12"/>
        <v>2.0699999999999998E-3</v>
      </c>
      <c r="F208">
        <f>wyniki!$A$245</f>
        <v>0</v>
      </c>
      <c r="J208" s="93">
        <f t="shared" si="13"/>
        <v>0</v>
      </c>
      <c r="K208" s="80">
        <f>LARGE($E$2:$E$241,207)</f>
        <v>1.06E-3</v>
      </c>
      <c r="L208" s="72">
        <f t="shared" si="14"/>
        <v>106</v>
      </c>
      <c r="M208" s="93">
        <f t="shared" si="15"/>
        <v>0</v>
      </c>
      <c r="N208" s="39">
        <v>207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7.25" thickTop="1" thickBot="1">
      <c r="B209">
        <f>wyniki!B249</f>
        <v>0</v>
      </c>
      <c r="C209" s="19">
        <f>wyniki!E249</f>
        <v>0</v>
      </c>
      <c r="D209" s="18">
        <v>2.0799999999999998E-3</v>
      </c>
      <c r="E209" s="19">
        <f t="shared" si="12"/>
        <v>2.0799999999999998E-3</v>
      </c>
      <c r="F209">
        <f>wyniki!$A$245</f>
        <v>0</v>
      </c>
      <c r="J209" s="93">
        <f t="shared" si="13"/>
        <v>0</v>
      </c>
      <c r="K209" s="80">
        <f>LARGE($E$2:$E$241,208)</f>
        <v>1.0499999999999999E-3</v>
      </c>
      <c r="L209" s="72">
        <f t="shared" si="14"/>
        <v>105</v>
      </c>
      <c r="M209" s="93">
        <f t="shared" si="15"/>
        <v>0</v>
      </c>
      <c r="N209" s="39">
        <v>208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2:26" ht="17.25" thickTop="1" thickBot="1">
      <c r="B210">
        <f>wyniki!B250</f>
        <v>0</v>
      </c>
      <c r="C210" s="19">
        <f>wyniki!E250</f>
        <v>0</v>
      </c>
      <c r="D210" s="18">
        <v>2.0899999999999998E-3</v>
      </c>
      <c r="E210" s="19">
        <f t="shared" si="12"/>
        <v>2.0899999999999998E-3</v>
      </c>
      <c r="F210">
        <f>wyniki!$A$245</f>
        <v>0</v>
      </c>
      <c r="J210" s="93">
        <f t="shared" si="13"/>
        <v>0</v>
      </c>
      <c r="K210" s="80">
        <f>LARGE($E$2:$E$241,209)</f>
        <v>1.0399999999999999E-3</v>
      </c>
      <c r="L210" s="72">
        <f t="shared" si="14"/>
        <v>104</v>
      </c>
      <c r="M210" s="93">
        <f t="shared" si="15"/>
        <v>0</v>
      </c>
      <c r="N210" s="39">
        <v>209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2:26" ht="17.25" thickTop="1" thickBot="1">
      <c r="B211">
        <f>wyniki!B251</f>
        <v>0</v>
      </c>
      <c r="C211" s="19">
        <f>wyniki!E251</f>
        <v>0</v>
      </c>
      <c r="D211" s="18">
        <v>2.0999999999999999E-3</v>
      </c>
      <c r="E211" s="19">
        <f t="shared" si="12"/>
        <v>2.0999999999999999E-3</v>
      </c>
      <c r="F211">
        <f>wyniki!$A$245</f>
        <v>0</v>
      </c>
      <c r="J211" s="93">
        <f t="shared" si="13"/>
        <v>0</v>
      </c>
      <c r="K211" s="80">
        <f>LARGE($E$2:$E$241,210)</f>
        <v>1.0300000000000001E-3</v>
      </c>
      <c r="L211" s="72">
        <f t="shared" si="14"/>
        <v>103</v>
      </c>
      <c r="M211" s="93">
        <f t="shared" si="15"/>
        <v>0</v>
      </c>
      <c r="N211" s="39">
        <v>210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2:26" ht="17.25" thickTop="1" thickBot="1">
      <c r="B212">
        <f>wyniki!B253</f>
        <v>0</v>
      </c>
      <c r="C212" s="19">
        <f>wyniki!E253</f>
        <v>0</v>
      </c>
      <c r="D212" s="18">
        <v>2.1099999999999999E-3</v>
      </c>
      <c r="E212" s="19">
        <f t="shared" si="12"/>
        <v>2.1099999999999999E-3</v>
      </c>
      <c r="F212">
        <f>wyniki!$A$252</f>
        <v>0</v>
      </c>
      <c r="J212" s="93">
        <f t="shared" si="13"/>
        <v>0</v>
      </c>
      <c r="K212" s="80">
        <f>LARGE($E$2:$E$241,211)</f>
        <v>1.0200000000000001E-3</v>
      </c>
      <c r="L212" s="72">
        <f t="shared" si="14"/>
        <v>102</v>
      </c>
      <c r="M212" s="93">
        <f t="shared" si="15"/>
        <v>0</v>
      </c>
      <c r="N212" s="39">
        <v>211</v>
      </c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2:26" ht="17.25" thickTop="1" thickBot="1">
      <c r="B213">
        <f>wyniki!B254</f>
        <v>0</v>
      </c>
      <c r="C213" s="19">
        <f>wyniki!E254</f>
        <v>0</v>
      </c>
      <c r="D213" s="18">
        <v>2.1199999999999999E-3</v>
      </c>
      <c r="E213" s="19">
        <f t="shared" si="12"/>
        <v>2.1199999999999999E-3</v>
      </c>
      <c r="F213">
        <f>wyniki!$A$252</f>
        <v>0</v>
      </c>
      <c r="J213" s="93">
        <f t="shared" si="13"/>
        <v>0</v>
      </c>
      <c r="K213" s="80">
        <f>LARGE($E$2:$E$241,212)</f>
        <v>1.01E-3</v>
      </c>
      <c r="L213" s="72">
        <f t="shared" si="14"/>
        <v>101</v>
      </c>
      <c r="M213" s="93">
        <f t="shared" si="15"/>
        <v>0</v>
      </c>
      <c r="N213" s="39">
        <v>212</v>
      </c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2:26" ht="17.25" thickTop="1" thickBot="1">
      <c r="B214">
        <f>wyniki!B255</f>
        <v>0</v>
      </c>
      <c r="C214" s="19">
        <f>wyniki!E255</f>
        <v>0</v>
      </c>
      <c r="D214" s="18">
        <v>2.1299999999999999E-3</v>
      </c>
      <c r="E214" s="19">
        <f t="shared" si="12"/>
        <v>2.1299999999999999E-3</v>
      </c>
      <c r="F214">
        <f>wyniki!$A$252</f>
        <v>0</v>
      </c>
      <c r="J214" s="93">
        <f t="shared" si="13"/>
        <v>0</v>
      </c>
      <c r="K214" s="80">
        <f>LARGE($E$2:$E$241,213)</f>
        <v>1E-3</v>
      </c>
      <c r="L214" s="72">
        <f t="shared" si="14"/>
        <v>100</v>
      </c>
      <c r="M214" s="93">
        <f t="shared" si="15"/>
        <v>0</v>
      </c>
      <c r="N214" s="39">
        <v>213</v>
      </c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2:26" ht="17.25" thickTop="1" thickBot="1">
      <c r="B215">
        <f>wyniki!B256</f>
        <v>0</v>
      </c>
      <c r="C215" s="19">
        <f>wyniki!E256</f>
        <v>0</v>
      </c>
      <c r="D215" s="18">
        <v>2.14E-3</v>
      </c>
      <c r="E215" s="19">
        <f t="shared" si="12"/>
        <v>2.14E-3</v>
      </c>
      <c r="F215">
        <f>wyniki!$A$252</f>
        <v>0</v>
      </c>
      <c r="J215" s="93">
        <f t="shared" si="13"/>
        <v>0</v>
      </c>
      <c r="K215" s="80">
        <f>LARGE($E$2:$E$241,214)</f>
        <v>9.8999999999999999E-4</v>
      </c>
      <c r="L215" s="72">
        <f t="shared" si="14"/>
        <v>99</v>
      </c>
      <c r="M215" s="93">
        <f t="shared" si="15"/>
        <v>0</v>
      </c>
      <c r="N215" s="39">
        <v>214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2:26" ht="17.25" thickTop="1" thickBot="1">
      <c r="B216">
        <f>wyniki!B257</f>
        <v>0</v>
      </c>
      <c r="C216" s="19">
        <f>wyniki!E257</f>
        <v>0</v>
      </c>
      <c r="D216" s="18">
        <v>2.15E-3</v>
      </c>
      <c r="E216" s="19">
        <f t="shared" si="12"/>
        <v>2.15E-3</v>
      </c>
      <c r="F216">
        <f>wyniki!$A$252</f>
        <v>0</v>
      </c>
      <c r="J216" s="93">
        <f t="shared" si="13"/>
        <v>0</v>
      </c>
      <c r="K216" s="80">
        <f>LARGE($E$2:$E$241,215)</f>
        <v>9.7999999999999997E-4</v>
      </c>
      <c r="L216" s="72">
        <f t="shared" si="14"/>
        <v>98</v>
      </c>
      <c r="M216" s="93">
        <f t="shared" si="15"/>
        <v>0</v>
      </c>
      <c r="N216" s="39">
        <v>215</v>
      </c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2:26" ht="17.25" thickTop="1" thickBot="1">
      <c r="B217">
        <f>wyniki!B258</f>
        <v>0</v>
      </c>
      <c r="C217" s="19">
        <f>wyniki!E258</f>
        <v>0</v>
      </c>
      <c r="D217" s="18">
        <v>2.16E-3</v>
      </c>
      <c r="E217" s="19">
        <f t="shared" si="12"/>
        <v>2.16E-3</v>
      </c>
      <c r="F217">
        <f>wyniki!$A$252</f>
        <v>0</v>
      </c>
      <c r="J217" s="93">
        <f t="shared" si="13"/>
        <v>0</v>
      </c>
      <c r="K217" s="80">
        <f>LARGE($E$2:$E$241,216)</f>
        <v>9.7000000000000005E-4</v>
      </c>
      <c r="L217" s="72">
        <f t="shared" si="14"/>
        <v>97</v>
      </c>
      <c r="M217" s="93">
        <f t="shared" si="15"/>
        <v>0</v>
      </c>
      <c r="N217" s="39">
        <v>216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2:26" ht="17.25" thickTop="1" thickBot="1">
      <c r="B218">
        <f>wyniki!B260</f>
        <v>0</v>
      </c>
      <c r="C218" s="19">
        <f>wyniki!E260</f>
        <v>0</v>
      </c>
      <c r="D218" s="18">
        <v>2.1700000000000001E-3</v>
      </c>
      <c r="E218" s="19">
        <f t="shared" si="12"/>
        <v>2.1700000000000001E-3</v>
      </c>
      <c r="F218">
        <f>wyniki!$A$259</f>
        <v>0</v>
      </c>
      <c r="J218" s="93">
        <f t="shared" si="13"/>
        <v>0</v>
      </c>
      <c r="K218" s="80">
        <f>LARGE($E$2:$E$241,217)</f>
        <v>9.6000000000000002E-4</v>
      </c>
      <c r="L218" s="72">
        <f t="shared" si="14"/>
        <v>96</v>
      </c>
      <c r="M218" s="93">
        <f t="shared" si="15"/>
        <v>0</v>
      </c>
      <c r="N218" s="39">
        <v>217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2:26" ht="17.25" thickTop="1" thickBot="1">
      <c r="B219">
        <f>wyniki!B261</f>
        <v>0</v>
      </c>
      <c r="C219" s="19">
        <f>wyniki!E261</f>
        <v>0</v>
      </c>
      <c r="D219" s="18">
        <v>2.1800000000000001E-3</v>
      </c>
      <c r="E219" s="19">
        <f t="shared" si="12"/>
        <v>2.1800000000000001E-3</v>
      </c>
      <c r="F219">
        <f>wyniki!$A$259</f>
        <v>0</v>
      </c>
      <c r="J219" s="93">
        <f t="shared" si="13"/>
        <v>0</v>
      </c>
      <c r="K219" s="80">
        <f>LARGE($E$2:$E$241,218)</f>
        <v>9.5E-4</v>
      </c>
      <c r="L219" s="72">
        <f t="shared" si="14"/>
        <v>95</v>
      </c>
      <c r="M219" s="93">
        <f t="shared" si="15"/>
        <v>0</v>
      </c>
      <c r="N219" s="39">
        <v>218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2:26" ht="17.25" thickTop="1" thickBot="1">
      <c r="B220">
        <f>wyniki!B262</f>
        <v>0</v>
      </c>
      <c r="C220" s="19">
        <f>wyniki!E262</f>
        <v>0</v>
      </c>
      <c r="D220" s="18">
        <v>2.1900000000000001E-3</v>
      </c>
      <c r="E220" s="19">
        <f t="shared" si="12"/>
        <v>2.1900000000000001E-3</v>
      </c>
      <c r="F220">
        <f>wyniki!$A$259</f>
        <v>0</v>
      </c>
      <c r="J220" s="93">
        <f t="shared" si="13"/>
        <v>0</v>
      </c>
      <c r="K220" s="80">
        <f>LARGE($E$2:$E$241,219)</f>
        <v>9.3999999999999997E-4</v>
      </c>
      <c r="L220" s="72">
        <f t="shared" si="14"/>
        <v>94</v>
      </c>
      <c r="M220" s="93">
        <f t="shared" si="15"/>
        <v>0</v>
      </c>
      <c r="N220" s="39">
        <v>219</v>
      </c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2:26" ht="17.25" thickTop="1" thickBot="1">
      <c r="B221">
        <f>wyniki!B263</f>
        <v>0</v>
      </c>
      <c r="C221" s="19">
        <f>wyniki!E263</f>
        <v>0</v>
      </c>
      <c r="D221" s="18">
        <v>2.2000000000000001E-3</v>
      </c>
      <c r="E221" s="19">
        <f t="shared" si="12"/>
        <v>2.2000000000000001E-3</v>
      </c>
      <c r="F221">
        <f>wyniki!$A$259</f>
        <v>0</v>
      </c>
      <c r="J221" s="93">
        <f t="shared" si="13"/>
        <v>0</v>
      </c>
      <c r="K221" s="80">
        <f>LARGE($E$2:$E$241,220)</f>
        <v>9.3000000000000005E-4</v>
      </c>
      <c r="L221" s="72">
        <f t="shared" si="14"/>
        <v>93</v>
      </c>
      <c r="M221" s="93">
        <f t="shared" si="15"/>
        <v>0</v>
      </c>
      <c r="N221" s="39">
        <v>220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2:26" ht="17.25" thickTop="1" thickBot="1">
      <c r="B222">
        <f>wyniki!B264</f>
        <v>0</v>
      </c>
      <c r="C222" s="19">
        <f>wyniki!E264</f>
        <v>0</v>
      </c>
      <c r="D222" s="18">
        <v>2.2100000000000002E-3</v>
      </c>
      <c r="E222" s="19">
        <f t="shared" si="12"/>
        <v>2.2100000000000002E-3</v>
      </c>
      <c r="F222">
        <f>wyniki!$A$259</f>
        <v>0</v>
      </c>
      <c r="J222" s="93">
        <f t="shared" si="13"/>
        <v>0</v>
      </c>
      <c r="K222" s="80">
        <f>LARGE($E$2:$E$241,221)</f>
        <v>9.2000000000000003E-4</v>
      </c>
      <c r="L222" s="72">
        <f t="shared" si="14"/>
        <v>92</v>
      </c>
      <c r="M222" s="93">
        <f t="shared" si="15"/>
        <v>0</v>
      </c>
      <c r="N222" s="39">
        <v>221</v>
      </c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2:26" ht="17.25" thickTop="1" thickBot="1">
      <c r="B223">
        <f>wyniki!B265</f>
        <v>0</v>
      </c>
      <c r="C223" s="19">
        <f>wyniki!E265</f>
        <v>0</v>
      </c>
      <c r="D223" s="18">
        <v>2.2200000000000002E-3</v>
      </c>
      <c r="E223" s="19">
        <f t="shared" si="12"/>
        <v>2.2200000000000002E-3</v>
      </c>
      <c r="F223">
        <f>wyniki!$A$259</f>
        <v>0</v>
      </c>
      <c r="J223" s="93">
        <f t="shared" si="13"/>
        <v>0</v>
      </c>
      <c r="K223" s="80">
        <f>LARGE($E$2:$E$241,222)</f>
        <v>9.1E-4</v>
      </c>
      <c r="L223" s="72">
        <f t="shared" si="14"/>
        <v>91</v>
      </c>
      <c r="M223" s="93">
        <f t="shared" si="15"/>
        <v>0</v>
      </c>
      <c r="N223" s="39">
        <v>222</v>
      </c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2:26" ht="17.25" thickTop="1" thickBot="1">
      <c r="B224">
        <f>wyniki!B267</f>
        <v>0</v>
      </c>
      <c r="C224" s="19">
        <f>wyniki!E267</f>
        <v>0</v>
      </c>
      <c r="D224" s="18">
        <v>2.2300000000000002E-3</v>
      </c>
      <c r="E224" s="19">
        <f t="shared" si="12"/>
        <v>2.2300000000000002E-3</v>
      </c>
      <c r="F224">
        <f>wyniki!$A$266</f>
        <v>0</v>
      </c>
      <c r="J224" s="93">
        <f t="shared" si="13"/>
        <v>0</v>
      </c>
      <c r="K224" s="80">
        <f>LARGE($E$2:$E$241,223)</f>
        <v>8.9999999999999998E-4</v>
      </c>
      <c r="L224" s="72">
        <f t="shared" si="14"/>
        <v>90</v>
      </c>
      <c r="M224" s="93">
        <f t="shared" si="15"/>
        <v>0</v>
      </c>
      <c r="N224" s="39">
        <v>223</v>
      </c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2:26" ht="17.25" thickTop="1" thickBot="1">
      <c r="B225">
        <f>wyniki!B268</f>
        <v>0</v>
      </c>
      <c r="C225" s="19">
        <f>wyniki!E268</f>
        <v>0</v>
      </c>
      <c r="D225" s="18">
        <v>2.2399999999999998E-3</v>
      </c>
      <c r="E225" s="19">
        <f t="shared" si="12"/>
        <v>2.2399999999999998E-3</v>
      </c>
      <c r="F225">
        <f>wyniki!$A$266</f>
        <v>0</v>
      </c>
      <c r="J225" s="93">
        <f t="shared" si="13"/>
        <v>0</v>
      </c>
      <c r="K225" s="80">
        <f>LARGE($E$2:$E$241,224)</f>
        <v>8.8999999999999995E-4</v>
      </c>
      <c r="L225" s="72">
        <f t="shared" si="14"/>
        <v>89</v>
      </c>
      <c r="M225" s="93">
        <f t="shared" si="15"/>
        <v>0</v>
      </c>
      <c r="N225" s="39">
        <v>224</v>
      </c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2:26" ht="17.25" thickTop="1" thickBot="1">
      <c r="B226">
        <f>wyniki!B269</f>
        <v>0</v>
      </c>
      <c r="C226" s="19">
        <f>wyniki!E269</f>
        <v>0</v>
      </c>
      <c r="D226" s="18">
        <v>2.2499999999999998E-3</v>
      </c>
      <c r="E226" s="19">
        <f t="shared" si="12"/>
        <v>2.2499999999999998E-3</v>
      </c>
      <c r="F226">
        <f>wyniki!$A$266</f>
        <v>0</v>
      </c>
      <c r="J226" s="93">
        <f t="shared" si="13"/>
        <v>0</v>
      </c>
      <c r="K226" s="80">
        <f>LARGE($E$2:$E$241,225)</f>
        <v>8.8000000000000003E-4</v>
      </c>
      <c r="L226" s="72">
        <f t="shared" si="14"/>
        <v>88</v>
      </c>
      <c r="M226" s="93">
        <f t="shared" si="15"/>
        <v>0</v>
      </c>
      <c r="N226" s="39">
        <v>225</v>
      </c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2:26" ht="17.25" thickTop="1" thickBot="1">
      <c r="B227">
        <f>wyniki!B270</f>
        <v>0</v>
      </c>
      <c r="C227" s="19">
        <f>wyniki!E270</f>
        <v>0</v>
      </c>
      <c r="D227" s="18">
        <v>2.2599999999999999E-3</v>
      </c>
      <c r="E227" s="19">
        <f t="shared" si="12"/>
        <v>2.2599999999999999E-3</v>
      </c>
      <c r="F227">
        <f>wyniki!$A$266</f>
        <v>0</v>
      </c>
      <c r="J227" s="93">
        <f t="shared" si="13"/>
        <v>0</v>
      </c>
      <c r="K227" s="80">
        <f>LARGE($E$2:$E$241,226)</f>
        <v>8.7000000000000001E-4</v>
      </c>
      <c r="L227" s="72">
        <f t="shared" si="14"/>
        <v>87</v>
      </c>
      <c r="M227" s="93">
        <f t="shared" si="15"/>
        <v>0</v>
      </c>
      <c r="N227" s="39">
        <v>226</v>
      </c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2:26" ht="17.25" thickTop="1" thickBot="1">
      <c r="B228">
        <f>wyniki!B271</f>
        <v>0</v>
      </c>
      <c r="C228" s="19">
        <f>wyniki!E271</f>
        <v>0</v>
      </c>
      <c r="D228" s="18">
        <v>2.2699999999999999E-3</v>
      </c>
      <c r="E228" s="19">
        <f t="shared" si="12"/>
        <v>2.2699999999999999E-3</v>
      </c>
      <c r="F228">
        <f>wyniki!$A$266</f>
        <v>0</v>
      </c>
      <c r="J228" s="93">
        <f t="shared" si="13"/>
        <v>0</v>
      </c>
      <c r="K228" s="80">
        <f>LARGE($E$2:$E$241,227)</f>
        <v>8.5999999999999998E-4</v>
      </c>
      <c r="L228" s="72">
        <f t="shared" si="14"/>
        <v>86</v>
      </c>
      <c r="M228" s="93">
        <f t="shared" si="15"/>
        <v>0</v>
      </c>
      <c r="N228" s="39">
        <v>227</v>
      </c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2:26" ht="17.25" thickTop="1" thickBot="1">
      <c r="B229">
        <f>wyniki!B272</f>
        <v>0</v>
      </c>
      <c r="C229" s="19">
        <f>wyniki!E272</f>
        <v>0</v>
      </c>
      <c r="D229" s="18">
        <v>2.2799999999999999E-3</v>
      </c>
      <c r="E229" s="19">
        <f t="shared" si="12"/>
        <v>2.2799999999999999E-3</v>
      </c>
      <c r="F229">
        <f>wyniki!$A$266</f>
        <v>0</v>
      </c>
      <c r="J229" s="93">
        <f t="shared" si="13"/>
        <v>0</v>
      </c>
      <c r="K229" s="80">
        <f>LARGE($E$2:$E$241,228)</f>
        <v>8.4999999999999995E-4</v>
      </c>
      <c r="L229" s="72">
        <f t="shared" si="14"/>
        <v>85</v>
      </c>
      <c r="M229" s="93">
        <f t="shared" si="15"/>
        <v>0</v>
      </c>
      <c r="N229" s="39">
        <v>228</v>
      </c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2:26" ht="17.25" thickTop="1" thickBot="1">
      <c r="B230">
        <f>wyniki!B274</f>
        <v>0</v>
      </c>
      <c r="C230" s="19">
        <f>wyniki!E274</f>
        <v>0</v>
      </c>
      <c r="D230" s="18">
        <v>2.2899999999999999E-3</v>
      </c>
      <c r="E230" s="19">
        <f t="shared" si="12"/>
        <v>2.2899999999999999E-3</v>
      </c>
      <c r="F230">
        <f>wyniki!$A$273</f>
        <v>0</v>
      </c>
      <c r="J230" s="93">
        <f t="shared" si="13"/>
        <v>0</v>
      </c>
      <c r="K230" s="80">
        <f>LARGE($E$2:$E$241,229)</f>
        <v>8.4000000000000003E-4</v>
      </c>
      <c r="L230" s="72">
        <f t="shared" si="14"/>
        <v>84</v>
      </c>
      <c r="M230" s="93">
        <f t="shared" si="15"/>
        <v>0</v>
      </c>
      <c r="N230" s="39">
        <v>229</v>
      </c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2:26" ht="17.25" thickTop="1" thickBot="1">
      <c r="B231">
        <f>wyniki!B275</f>
        <v>0</v>
      </c>
      <c r="C231" s="19">
        <f>wyniki!E275</f>
        <v>0</v>
      </c>
      <c r="D231" s="18">
        <v>2.3E-3</v>
      </c>
      <c r="E231" s="19">
        <f t="shared" si="12"/>
        <v>2.3E-3</v>
      </c>
      <c r="F231">
        <f>wyniki!$A$273</f>
        <v>0</v>
      </c>
      <c r="J231" s="93">
        <f t="shared" si="13"/>
        <v>0</v>
      </c>
      <c r="K231" s="80">
        <f>LARGE($E$2:$E$241,230)</f>
        <v>8.3000000000000001E-4</v>
      </c>
      <c r="L231" s="72">
        <f t="shared" si="14"/>
        <v>83</v>
      </c>
      <c r="M231" s="93">
        <f t="shared" si="15"/>
        <v>0</v>
      </c>
      <c r="N231" s="39">
        <v>230</v>
      </c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2:26" ht="17.25" thickTop="1" thickBot="1">
      <c r="B232">
        <f>wyniki!B276</f>
        <v>0</v>
      </c>
      <c r="C232" s="19">
        <f>wyniki!E276</f>
        <v>0</v>
      </c>
      <c r="D232" s="18">
        <v>2.31E-3</v>
      </c>
      <c r="E232" s="19">
        <f t="shared" si="12"/>
        <v>2.31E-3</v>
      </c>
      <c r="F232">
        <f>wyniki!$A$273</f>
        <v>0</v>
      </c>
      <c r="J232" s="93">
        <f t="shared" si="13"/>
        <v>0</v>
      </c>
      <c r="K232" s="80">
        <f>LARGE($E$2:$E$241,231)</f>
        <v>8.1999999999999998E-4</v>
      </c>
      <c r="L232" s="72">
        <f t="shared" si="14"/>
        <v>82</v>
      </c>
      <c r="M232" s="93">
        <f t="shared" si="15"/>
        <v>0</v>
      </c>
      <c r="N232" s="39">
        <v>231</v>
      </c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2:26" ht="17.25" thickTop="1" thickBot="1">
      <c r="B233">
        <f>wyniki!B277</f>
        <v>0</v>
      </c>
      <c r="C233" s="19">
        <f>wyniki!E277</f>
        <v>0</v>
      </c>
      <c r="D233" s="18">
        <v>2.32E-3</v>
      </c>
      <c r="E233" s="19">
        <f t="shared" si="12"/>
        <v>2.32E-3</v>
      </c>
      <c r="F233">
        <f>wyniki!$A$273</f>
        <v>0</v>
      </c>
      <c r="J233" s="93">
        <f t="shared" si="13"/>
        <v>0</v>
      </c>
      <c r="K233" s="80">
        <f>LARGE($E$2:$E$241,232)</f>
        <v>8.0999999999999996E-4</v>
      </c>
      <c r="L233" s="72">
        <f t="shared" si="14"/>
        <v>81</v>
      </c>
      <c r="M233" s="93">
        <f t="shared" si="15"/>
        <v>0</v>
      </c>
      <c r="N233" s="39">
        <v>232</v>
      </c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2:26" ht="17.25" thickTop="1" thickBot="1">
      <c r="B234">
        <f>wyniki!B278</f>
        <v>0</v>
      </c>
      <c r="C234" s="19">
        <f>wyniki!E278</f>
        <v>0</v>
      </c>
      <c r="D234" s="18">
        <v>2.33E-3</v>
      </c>
      <c r="E234" s="19">
        <f t="shared" si="12"/>
        <v>2.33E-3</v>
      </c>
      <c r="F234">
        <f>wyniki!$A$273</f>
        <v>0</v>
      </c>
      <c r="J234" s="93">
        <f t="shared" si="13"/>
        <v>0</v>
      </c>
      <c r="K234" s="80">
        <f>LARGE($E$2:$E$241,233)</f>
        <v>8.0000000000000004E-4</v>
      </c>
      <c r="L234" s="72">
        <f t="shared" si="14"/>
        <v>80</v>
      </c>
      <c r="M234" s="93">
        <f t="shared" si="15"/>
        <v>0</v>
      </c>
      <c r="N234" s="39">
        <v>233</v>
      </c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2:26" ht="17.25" thickTop="1" thickBot="1">
      <c r="B235">
        <f>wyniki!B279</f>
        <v>0</v>
      </c>
      <c r="C235" s="19">
        <f>wyniki!E279</f>
        <v>0</v>
      </c>
      <c r="D235" s="18">
        <v>2.3400000000000001E-3</v>
      </c>
      <c r="E235" s="19">
        <f t="shared" si="12"/>
        <v>2.3400000000000001E-3</v>
      </c>
      <c r="F235">
        <f>wyniki!$A$273</f>
        <v>0</v>
      </c>
      <c r="J235" s="93">
        <f t="shared" si="13"/>
        <v>0</v>
      </c>
      <c r="K235" s="80">
        <f>LARGE($E$2:$E$241,234)</f>
        <v>7.9000000000000001E-4</v>
      </c>
      <c r="L235" s="72">
        <f t="shared" si="14"/>
        <v>79</v>
      </c>
      <c r="M235" s="93">
        <f t="shared" si="15"/>
        <v>0</v>
      </c>
      <c r="N235" s="39">
        <v>234</v>
      </c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2:26" ht="17.25" thickTop="1" thickBot="1">
      <c r="B236">
        <f>wyniki!B281</f>
        <v>0</v>
      </c>
      <c r="C236" s="19">
        <f>wyniki!E281</f>
        <v>0</v>
      </c>
      <c r="D236" s="18">
        <v>2.3500000000000001E-3</v>
      </c>
      <c r="E236" s="19">
        <f t="shared" si="12"/>
        <v>2.3500000000000001E-3</v>
      </c>
      <c r="F236">
        <f>wyniki!$A$280</f>
        <v>0</v>
      </c>
      <c r="J236" s="93">
        <f t="shared" si="13"/>
        <v>0</v>
      </c>
      <c r="K236" s="80">
        <f>LARGE($E$2:$E$241,235)</f>
        <v>7.7999999999999999E-4</v>
      </c>
      <c r="L236" s="72">
        <f t="shared" si="14"/>
        <v>78</v>
      </c>
      <c r="M236" s="93">
        <f t="shared" si="15"/>
        <v>0</v>
      </c>
      <c r="N236" s="39">
        <v>235</v>
      </c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2:26" ht="17.25" thickTop="1" thickBot="1">
      <c r="B237">
        <f>wyniki!B282</f>
        <v>0</v>
      </c>
      <c r="C237" s="19">
        <f>wyniki!E282</f>
        <v>0</v>
      </c>
      <c r="D237" s="18">
        <v>2.3600000000000001E-3</v>
      </c>
      <c r="E237" s="19">
        <f t="shared" si="12"/>
        <v>2.3600000000000001E-3</v>
      </c>
      <c r="F237">
        <f>wyniki!$A$280</f>
        <v>0</v>
      </c>
      <c r="J237" s="93">
        <f t="shared" si="13"/>
        <v>0</v>
      </c>
      <c r="K237" s="80">
        <f>LARGE($E$2:$E$241,236)</f>
        <v>7.6999999999999996E-4</v>
      </c>
      <c r="L237" s="72">
        <f t="shared" si="14"/>
        <v>77</v>
      </c>
      <c r="M237" s="93">
        <f t="shared" si="15"/>
        <v>0</v>
      </c>
      <c r="N237" s="39">
        <v>236</v>
      </c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2:26" ht="17.25" thickTop="1" thickBot="1">
      <c r="B238">
        <f>wyniki!B283</f>
        <v>0</v>
      </c>
      <c r="C238" s="19">
        <f>wyniki!E283</f>
        <v>0</v>
      </c>
      <c r="D238" s="18">
        <v>2.3700000000000001E-3</v>
      </c>
      <c r="E238" s="19">
        <f t="shared" si="12"/>
        <v>2.3700000000000001E-3</v>
      </c>
      <c r="F238">
        <f>wyniki!$A$280</f>
        <v>0</v>
      </c>
      <c r="J238" s="93">
        <f t="shared" si="13"/>
        <v>0</v>
      </c>
      <c r="K238" s="80">
        <f>LARGE($E$2:$E$241,237)</f>
        <v>7.6000000000000004E-4</v>
      </c>
      <c r="L238" s="72">
        <f t="shared" si="14"/>
        <v>76</v>
      </c>
      <c r="M238" s="93">
        <f t="shared" si="15"/>
        <v>0</v>
      </c>
      <c r="N238" s="39">
        <v>237</v>
      </c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2:26" ht="17.25" thickTop="1" thickBot="1">
      <c r="B239">
        <f>wyniki!B284</f>
        <v>0</v>
      </c>
      <c r="C239" s="19">
        <f>wyniki!E284</f>
        <v>0</v>
      </c>
      <c r="D239" s="18">
        <v>2.3800000000000002E-3</v>
      </c>
      <c r="E239" s="19">
        <f t="shared" si="12"/>
        <v>2.3800000000000002E-3</v>
      </c>
      <c r="F239">
        <f>wyniki!$A$280</f>
        <v>0</v>
      </c>
      <c r="J239" s="93">
        <f t="shared" si="13"/>
        <v>0</v>
      </c>
      <c r="K239" s="80">
        <f>LARGE($E$2:$E$241,238)</f>
        <v>7.5000000000000002E-4</v>
      </c>
      <c r="L239" s="72">
        <f t="shared" si="14"/>
        <v>75</v>
      </c>
      <c r="M239" s="93">
        <f t="shared" si="15"/>
        <v>0</v>
      </c>
      <c r="N239" s="39">
        <v>238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2:26" ht="17.25" thickTop="1" thickBot="1">
      <c r="B240">
        <f>wyniki!B285</f>
        <v>0</v>
      </c>
      <c r="C240" s="19">
        <f>wyniki!E285</f>
        <v>0</v>
      </c>
      <c r="D240" s="18">
        <v>2.3900000000000002E-3</v>
      </c>
      <c r="E240" s="19">
        <f t="shared" si="12"/>
        <v>2.3900000000000002E-3</v>
      </c>
      <c r="F240">
        <f>wyniki!$A$280</f>
        <v>0</v>
      </c>
      <c r="J240" s="93">
        <f t="shared" si="13"/>
        <v>0</v>
      </c>
      <c r="K240" s="80">
        <f>LARGE($E$2:$E$241,239)</f>
        <v>7.3999999999999999E-4</v>
      </c>
      <c r="L240" s="72">
        <f t="shared" si="14"/>
        <v>74</v>
      </c>
      <c r="M240" s="93">
        <f t="shared" si="15"/>
        <v>0</v>
      </c>
      <c r="N240" s="39">
        <v>239</v>
      </c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2:26" ht="17.25" thickTop="1" thickBot="1">
      <c r="B241">
        <f>wyniki!B286</f>
        <v>0</v>
      </c>
      <c r="C241" s="19">
        <f>wyniki!E286</f>
        <v>0</v>
      </c>
      <c r="D241" s="18">
        <v>2.3999999999999998E-3</v>
      </c>
      <c r="E241" s="19">
        <f t="shared" si="12"/>
        <v>2.3999999999999998E-3</v>
      </c>
      <c r="F241">
        <f>wyniki!$A$280</f>
        <v>0</v>
      </c>
      <c r="J241" s="93">
        <f t="shared" si="13"/>
        <v>0</v>
      </c>
      <c r="K241" s="80">
        <f>LARGE($E$2:$E$241,240)</f>
        <v>7.2999999999999996E-4</v>
      </c>
      <c r="L241" s="72">
        <f t="shared" si="14"/>
        <v>73</v>
      </c>
      <c r="M241" s="93">
        <f t="shared" si="15"/>
        <v>0</v>
      </c>
      <c r="N241" s="39">
        <v>240</v>
      </c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2:26" ht="15.75" thickTop="1"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2:26"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2:26"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2:26"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2:26"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2:26"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2:26"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2:26"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2:26"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2:26"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2:26"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2:26"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2:26"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2:26"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2:26"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5:26"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5:26"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5:26"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5:26"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5:26"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5:26"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5:26"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5:26"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5:26"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5:26"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5:26"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5:26"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5:26"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5:26"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5:26"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5:26"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5:26"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5:26"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5:26"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5:26"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5:26"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5:26"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5:26"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5:26"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5:26"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5:26"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5:26"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5:26"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5:26"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5:26"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5:26"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5:26"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5:26"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5:26"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5:26"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5:26"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5:26"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5:26"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5:26"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5:26"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5:26"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5:26"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5:26"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5:26"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5:26"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5:26"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5:26"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5:26"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5:26"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5:26"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5:26"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5:26"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5:26"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5:26"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5:26"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5:26"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5:26"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5:26"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5:26"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5:26"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5:26"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5:26"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5:26"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5:26"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5:26"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5:26"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5:26"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5:26"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5:26"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5:26"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5:26"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5:26"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5:26"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5:26"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5:26"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5:26"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5:26"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5:26"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5:26"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5:26"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5:26"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5:26"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5:26"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5:26"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5:26"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5:26"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</sheetData>
  <autoFilter ref="J1:N1"/>
  <phoneticPr fontId="3" type="noConversion"/>
  <pageMargins left="0.75" right="0.75" top="1" bottom="1" header="0.5" footer="0.5"/>
  <pageSetup paperSize="9" scale="80" orientation="portrait" horizontalDpi="4294967294" r:id="rId1"/>
  <headerFooter alignWithMargins="0">
    <oddFooter>Strona &amp;P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B1:AC513"/>
  <sheetViews>
    <sheetView showGridLines="0" view="pageBreakPreview" zoomScaleNormal="100" workbookViewId="0">
      <selection activeCell="J1" sqref="J1:N1"/>
    </sheetView>
  </sheetViews>
  <sheetFormatPr defaultRowHeight="12.75"/>
  <cols>
    <col min="2" max="6" width="9.140625" hidden="1" customWidth="1"/>
    <col min="8" max="8" width="9.140625" hidden="1" customWidth="1"/>
    <col min="10" max="10" width="33.42578125" style="87" customWidth="1"/>
    <col min="11" max="11" width="9.28515625" style="81" bestFit="1" customWidth="1"/>
    <col min="12" max="12" width="4" style="3" hidden="1" customWidth="1"/>
    <col min="13" max="13" width="31.5703125" style="87" customWidth="1"/>
    <col min="14" max="14" width="11.42578125" style="50" bestFit="1" customWidth="1"/>
  </cols>
  <sheetData>
    <row r="1" spans="2:29" ht="19.5" thickTop="1" thickBot="1">
      <c r="J1" s="95" t="s">
        <v>1719</v>
      </c>
      <c r="K1" s="65" t="s">
        <v>1720</v>
      </c>
      <c r="L1" s="66"/>
      <c r="M1" s="95" t="s">
        <v>1721</v>
      </c>
      <c r="N1" s="66" t="s">
        <v>1722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2:29" ht="17.25" thickTop="1" thickBot="1">
      <c r="B2" t="str">
        <f>wyniki!B8</f>
        <v>Anielska Aleksandra</v>
      </c>
      <c r="C2" s="19">
        <f>wyniki!G8</f>
        <v>0</v>
      </c>
      <c r="D2" s="18">
        <v>1.0000000000000001E-5</v>
      </c>
      <c r="E2" s="19">
        <f>C2+D2</f>
        <v>1.0000000000000001E-5</v>
      </c>
      <c r="F2" t="str">
        <f>wyniki!$A$7</f>
        <v>SP14 Warszawa</v>
      </c>
      <c r="J2" s="93">
        <f>INDEX($B$2:$E$241,L2,1)</f>
        <v>0</v>
      </c>
      <c r="K2" s="77">
        <f>LARGE($E$2:$E$241,1)</f>
        <v>2.3999999999999998E-3</v>
      </c>
      <c r="L2" s="69">
        <f>MATCH(K2,$E$2:$E$241,0)</f>
        <v>240</v>
      </c>
      <c r="M2" s="85">
        <f>INDEX($E$2:$F$241,L2,2)</f>
        <v>0</v>
      </c>
      <c r="N2" s="39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2:29" ht="17.25" thickTop="1" thickBot="1">
      <c r="B3" t="str">
        <f>wyniki!B9</f>
        <v>Dłużewska Julia</v>
      </c>
      <c r="C3" s="19">
        <f>wyniki!G9</f>
        <v>0</v>
      </c>
      <c r="D3" s="18">
        <v>2.0000000000000002E-5</v>
      </c>
      <c r="E3" s="19">
        <f t="shared" ref="E3:E66" si="0">C3+D3</f>
        <v>2.0000000000000002E-5</v>
      </c>
      <c r="F3" t="str">
        <f>wyniki!$A$7</f>
        <v>SP14 Warszawa</v>
      </c>
      <c r="J3" s="93">
        <f t="shared" ref="J3:J66" si="1">INDEX($B$2:$E$241,L3,1)</f>
        <v>0</v>
      </c>
      <c r="K3" s="77">
        <f>LARGE($E$2:$E$241,2)</f>
        <v>2.3900000000000002E-3</v>
      </c>
      <c r="L3" s="69">
        <f t="shared" ref="L3:L66" si="2">MATCH(K3,$E$2:$E$241,0)</f>
        <v>239</v>
      </c>
      <c r="M3" s="85">
        <f t="shared" ref="M3:M66" si="3">INDEX($E$2:$F$241,L3,2)</f>
        <v>0</v>
      </c>
      <c r="N3" s="39">
        <v>2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2:29" ht="17.25" thickTop="1" thickBot="1">
      <c r="B4" t="str">
        <f>wyniki!B10</f>
        <v>Glegoła Paulia</v>
      </c>
      <c r="C4" s="19">
        <f>wyniki!G10</f>
        <v>0</v>
      </c>
      <c r="D4" s="18">
        <v>3.0000000000000001E-5</v>
      </c>
      <c r="E4" s="19">
        <f t="shared" si="0"/>
        <v>3.0000000000000001E-5</v>
      </c>
      <c r="F4" t="str">
        <f>wyniki!$A$7</f>
        <v>SP14 Warszawa</v>
      </c>
      <c r="J4" s="93">
        <f t="shared" si="1"/>
        <v>0</v>
      </c>
      <c r="K4" s="77">
        <f>LARGE($E$2:$E$241,3)</f>
        <v>2.3800000000000002E-3</v>
      </c>
      <c r="L4" s="69">
        <f t="shared" si="2"/>
        <v>238</v>
      </c>
      <c r="M4" s="85">
        <f t="shared" si="3"/>
        <v>0</v>
      </c>
      <c r="N4" s="39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2:29" ht="17.25" thickTop="1" thickBot="1">
      <c r="B5" t="str">
        <f>wyniki!B11</f>
        <v>Pietruszka Aleksandra</v>
      </c>
      <c r="C5" s="19">
        <f>wyniki!G11</f>
        <v>0</v>
      </c>
      <c r="D5" s="18">
        <v>4.0000000000000003E-5</v>
      </c>
      <c r="E5" s="19">
        <f t="shared" si="0"/>
        <v>4.0000000000000003E-5</v>
      </c>
      <c r="F5" t="str">
        <f>wyniki!$A$7</f>
        <v>SP14 Warszawa</v>
      </c>
      <c r="J5" s="93">
        <f t="shared" si="1"/>
        <v>0</v>
      </c>
      <c r="K5" s="77">
        <f>LARGE($E$2:$E$241,4)</f>
        <v>2.3700000000000001E-3</v>
      </c>
      <c r="L5" s="69">
        <f t="shared" si="2"/>
        <v>237</v>
      </c>
      <c r="M5" s="85">
        <f t="shared" si="3"/>
        <v>0</v>
      </c>
      <c r="N5" s="39">
        <v>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ht="17.25" thickTop="1" thickBot="1">
      <c r="B6" t="str">
        <f>wyniki!B12</f>
        <v>Stańczyk Maja</v>
      </c>
      <c r="C6" s="19">
        <f>wyniki!G12</f>
        <v>0</v>
      </c>
      <c r="D6" s="18">
        <v>5.0000000000000002E-5</v>
      </c>
      <c r="E6" s="19">
        <f t="shared" si="0"/>
        <v>5.0000000000000002E-5</v>
      </c>
      <c r="F6" t="str">
        <f>wyniki!$A$7</f>
        <v>SP14 Warszawa</v>
      </c>
      <c r="J6" s="93">
        <f t="shared" si="1"/>
        <v>0</v>
      </c>
      <c r="K6" s="77">
        <f>LARGE($E$2:$E$241,5)</f>
        <v>2.3600000000000001E-3</v>
      </c>
      <c r="L6" s="69">
        <f t="shared" si="2"/>
        <v>236</v>
      </c>
      <c r="M6" s="85">
        <f t="shared" si="3"/>
        <v>0</v>
      </c>
      <c r="N6" s="39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2:29" ht="17.25" thickTop="1" thickBot="1">
      <c r="B7" t="str">
        <f>wyniki!B13</f>
        <v>Wikalińska Maria</v>
      </c>
      <c r="C7" s="19">
        <f>wyniki!G13</f>
        <v>0</v>
      </c>
      <c r="D7" s="18">
        <v>6.0000000000000002E-5</v>
      </c>
      <c r="E7" s="19">
        <f t="shared" si="0"/>
        <v>6.0000000000000002E-5</v>
      </c>
      <c r="F7" t="str">
        <f>wyniki!$A$7</f>
        <v>SP14 Warszawa</v>
      </c>
      <c r="J7" s="93">
        <f t="shared" si="1"/>
        <v>0</v>
      </c>
      <c r="K7" s="77">
        <f>LARGE($E$2:$E$241,6)</f>
        <v>2.3500000000000001E-3</v>
      </c>
      <c r="L7" s="69">
        <f t="shared" si="2"/>
        <v>235</v>
      </c>
      <c r="M7" s="85">
        <f t="shared" si="3"/>
        <v>0</v>
      </c>
      <c r="N7" s="39">
        <v>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2:29" ht="17.25" thickTop="1" thickBot="1">
      <c r="B8" t="str">
        <f>wyniki!B15</f>
        <v>Cisowska Lena</v>
      </c>
      <c r="C8" s="19">
        <f>wyniki!G15</f>
        <v>0</v>
      </c>
      <c r="D8" s="18">
        <v>6.9999999999999994E-5</v>
      </c>
      <c r="E8" s="19">
        <f t="shared" si="0"/>
        <v>6.9999999999999994E-5</v>
      </c>
      <c r="F8" t="str">
        <f>wyniki!$A$14</f>
        <v>SP204 Warszawa</v>
      </c>
      <c r="J8" s="93">
        <f t="shared" si="1"/>
        <v>0</v>
      </c>
      <c r="K8" s="77">
        <f>LARGE($E$2:$E$241,7)</f>
        <v>2.3400000000000001E-3</v>
      </c>
      <c r="L8" s="69">
        <f t="shared" si="2"/>
        <v>234</v>
      </c>
      <c r="M8" s="85">
        <f t="shared" si="3"/>
        <v>0</v>
      </c>
      <c r="N8" s="39">
        <v>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2:29" ht="17.25" thickTop="1" thickBot="1">
      <c r="B9" t="str">
        <f>wyniki!B16</f>
        <v>Dasiewicz Barbara</v>
      </c>
      <c r="C9" s="19">
        <f>wyniki!G16</f>
        <v>0</v>
      </c>
      <c r="D9" s="18">
        <v>8.0000000000000007E-5</v>
      </c>
      <c r="E9" s="19">
        <f t="shared" si="0"/>
        <v>8.0000000000000007E-5</v>
      </c>
      <c r="F9" t="str">
        <f>wyniki!$A$14</f>
        <v>SP204 Warszawa</v>
      </c>
      <c r="J9" s="93">
        <f t="shared" si="1"/>
        <v>0</v>
      </c>
      <c r="K9" s="77">
        <f>LARGE($E$2:$E$241,8)</f>
        <v>2.33E-3</v>
      </c>
      <c r="L9" s="69">
        <f t="shared" si="2"/>
        <v>233</v>
      </c>
      <c r="M9" s="85">
        <f t="shared" si="3"/>
        <v>0</v>
      </c>
      <c r="N9" s="39">
        <v>8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2:29" ht="17.25" thickTop="1" thickBot="1">
      <c r="B10" t="str">
        <f>wyniki!B17</f>
        <v>Kowalska Antonina</v>
      </c>
      <c r="C10" s="19">
        <f>wyniki!G17</f>
        <v>0</v>
      </c>
      <c r="D10" s="18">
        <v>9.8999999999999999E-4</v>
      </c>
      <c r="E10" s="19">
        <f t="shared" si="0"/>
        <v>9.8999999999999999E-4</v>
      </c>
      <c r="F10" t="str">
        <f>wyniki!$A$14</f>
        <v>SP204 Warszawa</v>
      </c>
      <c r="J10" s="93">
        <f t="shared" si="1"/>
        <v>0</v>
      </c>
      <c r="K10" s="77">
        <f>LARGE($E$2:$E$241,9)</f>
        <v>2.32E-3</v>
      </c>
      <c r="L10" s="69">
        <f t="shared" si="2"/>
        <v>232</v>
      </c>
      <c r="M10" s="85">
        <f t="shared" si="3"/>
        <v>0</v>
      </c>
      <c r="N10" s="39">
        <v>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2:29" ht="17.25" thickTop="1" thickBot="1">
      <c r="B11" t="str">
        <f>wyniki!B18</f>
        <v>Kowalska Maja</v>
      </c>
      <c r="C11" s="19">
        <f>wyniki!G18</f>
        <v>0</v>
      </c>
      <c r="D11" s="18">
        <v>1E-4</v>
      </c>
      <c r="E11" s="19">
        <f t="shared" si="0"/>
        <v>1E-4</v>
      </c>
      <c r="F11" t="str">
        <f>wyniki!$A$14</f>
        <v>SP204 Warszawa</v>
      </c>
      <c r="J11" s="93">
        <f t="shared" si="1"/>
        <v>0</v>
      </c>
      <c r="K11" s="77">
        <f>LARGE($E$2:$E$241,10)</f>
        <v>2.31E-3</v>
      </c>
      <c r="L11" s="69">
        <f t="shared" si="2"/>
        <v>231</v>
      </c>
      <c r="M11" s="85">
        <f t="shared" si="3"/>
        <v>0</v>
      </c>
      <c r="N11" s="39">
        <v>10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2:29" ht="17.25" thickTop="1" thickBot="1">
      <c r="B12" t="str">
        <f>wyniki!B19</f>
        <v>Rogowska Maja</v>
      </c>
      <c r="C12" s="19">
        <f>wyniki!G19</f>
        <v>0</v>
      </c>
      <c r="D12" s="18">
        <v>1.1E-4</v>
      </c>
      <c r="E12" s="19">
        <f t="shared" si="0"/>
        <v>1.1E-4</v>
      </c>
      <c r="F12" t="str">
        <f>wyniki!$A$14</f>
        <v>SP204 Warszawa</v>
      </c>
      <c r="J12" s="93">
        <f t="shared" si="1"/>
        <v>0</v>
      </c>
      <c r="K12" s="77">
        <f>LARGE($E$2:$E$241,11)</f>
        <v>2.3E-3</v>
      </c>
      <c r="L12" s="69">
        <f t="shared" si="2"/>
        <v>230</v>
      </c>
      <c r="M12" s="85">
        <f t="shared" si="3"/>
        <v>0</v>
      </c>
      <c r="N12" s="39">
        <v>11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2:29" ht="17.25" thickTop="1" thickBot="1">
      <c r="B13" t="str">
        <f>wyniki!B20</f>
        <v>Zarzycka Helena</v>
      </c>
      <c r="C13" s="19">
        <f>wyniki!G20</f>
        <v>0</v>
      </c>
      <c r="D13" s="18">
        <v>1.2E-4</v>
      </c>
      <c r="E13" s="19">
        <f t="shared" si="0"/>
        <v>1.2E-4</v>
      </c>
      <c r="F13" t="str">
        <f>wyniki!$A$14</f>
        <v>SP204 Warszawa</v>
      </c>
      <c r="J13" s="93">
        <f t="shared" si="1"/>
        <v>0</v>
      </c>
      <c r="K13" s="77">
        <f>LARGE($E$2:$E$241,12)</f>
        <v>2.2899999999999999E-3</v>
      </c>
      <c r="L13" s="69">
        <f t="shared" si="2"/>
        <v>229</v>
      </c>
      <c r="M13" s="85">
        <f t="shared" si="3"/>
        <v>0</v>
      </c>
      <c r="N13" s="39">
        <v>12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2:29" ht="17.25" thickTop="1" thickBot="1">
      <c r="B14" t="str">
        <f>wyniki!B22</f>
        <v>Gawor Maria</v>
      </c>
      <c r="C14" s="19">
        <f>wyniki!G22</f>
        <v>0</v>
      </c>
      <c r="D14" s="18">
        <v>1.2999999999999999E-4</v>
      </c>
      <c r="E14" s="19">
        <f t="shared" si="0"/>
        <v>1.2999999999999999E-4</v>
      </c>
      <c r="F14" t="str">
        <f>wyniki!$A$21</f>
        <v>PSP 2 Radom</v>
      </c>
      <c r="J14" s="93">
        <f t="shared" si="1"/>
        <v>0</v>
      </c>
      <c r="K14" s="77">
        <f>LARGE($E$2:$E$241,13)</f>
        <v>2.2799999999999999E-3</v>
      </c>
      <c r="L14" s="69">
        <f t="shared" si="2"/>
        <v>228</v>
      </c>
      <c r="M14" s="85">
        <f t="shared" si="3"/>
        <v>0</v>
      </c>
      <c r="N14" s="39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2:29" ht="17.25" thickTop="1" thickBot="1">
      <c r="B15" t="str">
        <f>wyniki!B23</f>
        <v>Jakubowska Liliana</v>
      </c>
      <c r="C15" s="19">
        <f>wyniki!G23</f>
        <v>0</v>
      </c>
      <c r="D15" s="18">
        <v>1.3999999999999999E-4</v>
      </c>
      <c r="E15" s="19">
        <f t="shared" si="0"/>
        <v>1.3999999999999999E-4</v>
      </c>
      <c r="F15" t="str">
        <f>wyniki!$A$21</f>
        <v>PSP 2 Radom</v>
      </c>
      <c r="J15" s="93">
        <f t="shared" si="1"/>
        <v>0</v>
      </c>
      <c r="K15" s="77">
        <f>LARGE($E$2:$E$241,14)</f>
        <v>2.2699999999999999E-3</v>
      </c>
      <c r="L15" s="69">
        <f t="shared" si="2"/>
        <v>227</v>
      </c>
      <c r="M15" s="85">
        <f t="shared" si="3"/>
        <v>0</v>
      </c>
      <c r="N15" s="39">
        <v>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2:29" ht="17.25" thickTop="1" thickBot="1">
      <c r="B16" t="str">
        <f>wyniki!B24</f>
        <v>Kąca Alicja</v>
      </c>
      <c r="C16" s="19">
        <f>wyniki!G24</f>
        <v>0</v>
      </c>
      <c r="D16" s="18">
        <v>1.4999999999999999E-4</v>
      </c>
      <c r="E16" s="19">
        <f t="shared" si="0"/>
        <v>1.4999999999999999E-4</v>
      </c>
      <c r="F16" t="str">
        <f>wyniki!$A$21</f>
        <v>PSP 2 Radom</v>
      </c>
      <c r="J16" s="93">
        <f t="shared" si="1"/>
        <v>0</v>
      </c>
      <c r="K16" s="77">
        <f>LARGE($E$2:$E$241,15)</f>
        <v>2.2599999999999999E-3</v>
      </c>
      <c r="L16" s="69">
        <f t="shared" si="2"/>
        <v>226</v>
      </c>
      <c r="M16" s="85">
        <f t="shared" si="3"/>
        <v>0</v>
      </c>
      <c r="N16" s="39">
        <v>15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2:29" ht="17.25" thickTop="1" thickBot="1">
      <c r="B17" t="str">
        <f>wyniki!B25</f>
        <v>Maj Amelia</v>
      </c>
      <c r="C17" s="19">
        <f>wyniki!G25</f>
        <v>0</v>
      </c>
      <c r="D17" s="18">
        <v>1.6000000000000001E-4</v>
      </c>
      <c r="E17" s="19">
        <f t="shared" si="0"/>
        <v>1.6000000000000001E-4</v>
      </c>
      <c r="F17" t="str">
        <f>wyniki!$A$21</f>
        <v>PSP 2 Radom</v>
      </c>
      <c r="J17" s="93">
        <f t="shared" si="1"/>
        <v>0</v>
      </c>
      <c r="K17" s="77">
        <f>LARGE($E$2:$E$241,16)</f>
        <v>2.2499999999999998E-3</v>
      </c>
      <c r="L17" s="69">
        <f t="shared" si="2"/>
        <v>225</v>
      </c>
      <c r="M17" s="85">
        <f t="shared" si="3"/>
        <v>0</v>
      </c>
      <c r="N17" s="39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2:29" ht="17.25" thickTop="1" thickBot="1">
      <c r="B18" t="str">
        <f>wyniki!B26</f>
        <v>Piotrowska Iga</v>
      </c>
      <c r="C18" s="19">
        <f>wyniki!G26</f>
        <v>0</v>
      </c>
      <c r="D18" s="18">
        <v>1.7000000000000001E-4</v>
      </c>
      <c r="E18" s="19">
        <f t="shared" si="0"/>
        <v>1.7000000000000001E-4</v>
      </c>
      <c r="F18" t="str">
        <f>wyniki!$A$21</f>
        <v>PSP 2 Radom</v>
      </c>
      <c r="J18" s="93">
        <f t="shared" si="1"/>
        <v>0</v>
      </c>
      <c r="K18" s="77">
        <f>LARGE($E$2:$E$241,17)</f>
        <v>2.2399999999999998E-3</v>
      </c>
      <c r="L18" s="69">
        <f t="shared" si="2"/>
        <v>224</v>
      </c>
      <c r="M18" s="85">
        <f t="shared" si="3"/>
        <v>0</v>
      </c>
      <c r="N18" s="39">
        <v>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2:29" ht="17.25" thickTop="1" thickBot="1">
      <c r="B19" t="str">
        <f>wyniki!B27</f>
        <v>Tyczyńska Lena</v>
      </c>
      <c r="C19" s="19">
        <f>wyniki!G27</f>
        <v>0</v>
      </c>
      <c r="D19" s="18">
        <v>1.8000000000000001E-4</v>
      </c>
      <c r="E19" s="19">
        <f t="shared" si="0"/>
        <v>1.8000000000000001E-4</v>
      </c>
      <c r="F19" t="str">
        <f>wyniki!$A$21</f>
        <v>PSP 2 Radom</v>
      </c>
      <c r="J19" s="93">
        <f t="shared" si="1"/>
        <v>0</v>
      </c>
      <c r="K19" s="77">
        <f>LARGE($E$2:$E$241,18)</f>
        <v>2.2300000000000002E-3</v>
      </c>
      <c r="L19" s="69">
        <f t="shared" si="2"/>
        <v>223</v>
      </c>
      <c r="M19" s="85">
        <f t="shared" si="3"/>
        <v>0</v>
      </c>
      <c r="N19" s="39">
        <v>18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2:29" ht="17.25" thickTop="1" thickBot="1">
      <c r="B20" t="str">
        <f>wyniki!B29</f>
        <v>Burkiewicz Amelia</v>
      </c>
      <c r="C20" s="19">
        <f>wyniki!G29</f>
        <v>0</v>
      </c>
      <c r="D20" s="18">
        <v>1.9000000000000001E-4</v>
      </c>
      <c r="E20" s="19">
        <f t="shared" si="0"/>
        <v>1.9000000000000001E-4</v>
      </c>
      <c r="F20" t="str">
        <f>wyniki!$A$28</f>
        <v>SP2 Ostrów Maz.</v>
      </c>
      <c r="J20" s="93">
        <f t="shared" si="1"/>
        <v>0</v>
      </c>
      <c r="K20" s="77">
        <f>LARGE($E$2:$E$241,19)</f>
        <v>2.2200000000000002E-3</v>
      </c>
      <c r="L20" s="69">
        <f t="shared" si="2"/>
        <v>222</v>
      </c>
      <c r="M20" s="85">
        <f t="shared" si="3"/>
        <v>0</v>
      </c>
      <c r="N20" s="39">
        <v>19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2:29" ht="17.25" thickTop="1" thickBot="1">
      <c r="B21" t="str">
        <f>wyniki!B30</f>
        <v>Kołakowska Gabriela</v>
      </c>
      <c r="C21" s="19">
        <f>wyniki!G30</f>
        <v>0</v>
      </c>
      <c r="D21" s="18">
        <v>2.0000000000000001E-4</v>
      </c>
      <c r="E21" s="19">
        <f t="shared" si="0"/>
        <v>2.0000000000000001E-4</v>
      </c>
      <c r="F21" t="str">
        <f>wyniki!$A$28</f>
        <v>SP2 Ostrów Maz.</v>
      </c>
      <c r="J21" s="93">
        <f t="shared" si="1"/>
        <v>0</v>
      </c>
      <c r="K21" s="77">
        <f>LARGE($E$2:$E$241,20)</f>
        <v>2.2100000000000002E-3</v>
      </c>
      <c r="L21" s="69">
        <f t="shared" si="2"/>
        <v>221</v>
      </c>
      <c r="M21" s="85">
        <f t="shared" si="3"/>
        <v>0</v>
      </c>
      <c r="N21" s="39">
        <v>20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2:29" ht="17.25" thickTop="1" thickBot="1">
      <c r="B22" t="str">
        <f>wyniki!B31</f>
        <v>Niemyjska Aleksandra</v>
      </c>
      <c r="C22" s="19">
        <f>wyniki!G31</f>
        <v>0</v>
      </c>
      <c r="D22" s="18">
        <v>2.1000000000000001E-4</v>
      </c>
      <c r="E22" s="19">
        <f t="shared" si="0"/>
        <v>2.1000000000000001E-4</v>
      </c>
      <c r="F22" t="str">
        <f>wyniki!$A$28</f>
        <v>SP2 Ostrów Maz.</v>
      </c>
      <c r="J22" s="93">
        <f t="shared" si="1"/>
        <v>0</v>
      </c>
      <c r="K22" s="77">
        <f>LARGE($E$2:$E$241,21)</f>
        <v>2.2000000000000001E-3</v>
      </c>
      <c r="L22" s="69">
        <f t="shared" si="2"/>
        <v>220</v>
      </c>
      <c r="M22" s="85">
        <f t="shared" si="3"/>
        <v>0</v>
      </c>
      <c r="N22" s="39">
        <v>21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2:29" ht="17.25" thickTop="1" thickBot="1">
      <c r="B23" t="str">
        <f>wyniki!B32</f>
        <v>Paradukha Viktoria</v>
      </c>
      <c r="C23" s="19">
        <f>wyniki!G32</f>
        <v>0</v>
      </c>
      <c r="D23" s="18">
        <v>2.2000000000000001E-4</v>
      </c>
      <c r="E23" s="19">
        <f t="shared" si="0"/>
        <v>2.2000000000000001E-4</v>
      </c>
      <c r="F23" t="str">
        <f>wyniki!$A$28</f>
        <v>SP2 Ostrów Maz.</v>
      </c>
      <c r="J23" s="93">
        <f t="shared" si="1"/>
        <v>0</v>
      </c>
      <c r="K23" s="77">
        <f>LARGE($E$2:$E$241,22)</f>
        <v>2.1900000000000001E-3</v>
      </c>
      <c r="L23" s="69">
        <f t="shared" si="2"/>
        <v>219</v>
      </c>
      <c r="M23" s="85">
        <f t="shared" si="3"/>
        <v>0</v>
      </c>
      <c r="N23" s="39">
        <v>22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2:29" ht="17.25" thickTop="1" thickBot="1">
      <c r="B24" t="str">
        <f>wyniki!B33</f>
        <v>Wojsz Paulina</v>
      </c>
      <c r="C24" s="19">
        <f>wyniki!G33</f>
        <v>0</v>
      </c>
      <c r="D24" s="18">
        <v>2.3000000000000001E-4</v>
      </c>
      <c r="E24" s="19">
        <f t="shared" si="0"/>
        <v>2.3000000000000001E-4</v>
      </c>
      <c r="F24" t="str">
        <f>wyniki!$A$28</f>
        <v>SP2 Ostrów Maz.</v>
      </c>
      <c r="J24" s="93">
        <f t="shared" si="1"/>
        <v>0</v>
      </c>
      <c r="K24" s="77">
        <f>LARGE($E$2:$E$241,23)</f>
        <v>2.1800000000000001E-3</v>
      </c>
      <c r="L24" s="69">
        <f t="shared" si="2"/>
        <v>218</v>
      </c>
      <c r="M24" s="85">
        <f t="shared" si="3"/>
        <v>0</v>
      </c>
      <c r="N24" s="39">
        <v>23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2:29" ht="17.25" thickTop="1" thickBot="1">
      <c r="B25" t="str">
        <f>wyniki!B34</f>
        <v>Radgowska Maja</v>
      </c>
      <c r="C25" s="19">
        <f>wyniki!G34</f>
        <v>0</v>
      </c>
      <c r="D25" s="18">
        <v>2.4000000000000001E-4</v>
      </c>
      <c r="E25" s="19">
        <f t="shared" si="0"/>
        <v>2.4000000000000001E-4</v>
      </c>
      <c r="F25" t="str">
        <f>wyniki!$A$28</f>
        <v>SP2 Ostrów Maz.</v>
      </c>
      <c r="J25" s="93">
        <f t="shared" si="1"/>
        <v>0</v>
      </c>
      <c r="K25" s="77">
        <f>LARGE($E$2:$E$241,24)</f>
        <v>2.1700000000000001E-3</v>
      </c>
      <c r="L25" s="69">
        <f t="shared" si="2"/>
        <v>217</v>
      </c>
      <c r="M25" s="85">
        <f t="shared" si="3"/>
        <v>0</v>
      </c>
      <c r="N25" s="39"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2:29" ht="17.25" thickTop="1" thickBot="1">
      <c r="B26" t="str">
        <f>wyniki!B36</f>
        <v>Furman Alicja</v>
      </c>
      <c r="C26" s="19">
        <f>wyniki!G36</f>
        <v>0</v>
      </c>
      <c r="D26" s="18">
        <v>2.5000000000000001E-4</v>
      </c>
      <c r="E26" s="19">
        <f t="shared" si="0"/>
        <v>2.5000000000000001E-4</v>
      </c>
      <c r="F26" t="str">
        <f>wyniki!$A$35</f>
        <v>SP2 Chorzele</v>
      </c>
      <c r="J26" s="93">
        <f t="shared" si="1"/>
        <v>0</v>
      </c>
      <c r="K26" s="77">
        <f>LARGE($E$2:$E$241,25)</f>
        <v>2.16E-3</v>
      </c>
      <c r="L26" s="69">
        <f t="shared" si="2"/>
        <v>216</v>
      </c>
      <c r="M26" s="85">
        <f t="shared" si="3"/>
        <v>0</v>
      </c>
      <c r="N26" s="39">
        <v>25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2:29" ht="17.25" thickTop="1" thickBot="1">
      <c r="B27" t="str">
        <f>wyniki!B37</f>
        <v>Grabowska Maja</v>
      </c>
      <c r="C27" s="19">
        <f>wyniki!G37</f>
        <v>0</v>
      </c>
      <c r="D27" s="18">
        <v>2.5999999999999998E-4</v>
      </c>
      <c r="E27" s="19">
        <f t="shared" si="0"/>
        <v>2.5999999999999998E-4</v>
      </c>
      <c r="F27" t="str">
        <f>wyniki!$A$35</f>
        <v>SP2 Chorzele</v>
      </c>
      <c r="J27" s="93">
        <f t="shared" si="1"/>
        <v>0</v>
      </c>
      <c r="K27" s="77">
        <f>LARGE($E$2:$E$241,26)</f>
        <v>2.15E-3</v>
      </c>
      <c r="L27" s="69">
        <f t="shared" si="2"/>
        <v>215</v>
      </c>
      <c r="M27" s="85">
        <f t="shared" si="3"/>
        <v>0</v>
      </c>
      <c r="N27" s="39">
        <v>26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2:29" ht="17.25" thickTop="1" thickBot="1">
      <c r="B28" t="str">
        <f>wyniki!B38</f>
        <v>Lubowiecka Nadia</v>
      </c>
      <c r="C28" s="19">
        <f>wyniki!G38</f>
        <v>0</v>
      </c>
      <c r="D28" s="18">
        <v>2.7E-4</v>
      </c>
      <c r="E28" s="19">
        <f t="shared" si="0"/>
        <v>2.7E-4</v>
      </c>
      <c r="F28" t="str">
        <f>wyniki!$A$35</f>
        <v>SP2 Chorzele</v>
      </c>
      <c r="J28" s="93">
        <f t="shared" si="1"/>
        <v>0</v>
      </c>
      <c r="K28" s="77">
        <f>LARGE($E$2:$E$241,27)</f>
        <v>2.14E-3</v>
      </c>
      <c r="L28" s="69">
        <f t="shared" si="2"/>
        <v>214</v>
      </c>
      <c r="M28" s="85">
        <f t="shared" si="3"/>
        <v>0</v>
      </c>
      <c r="N28" s="39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2:29" ht="17.25" thickTop="1" thickBot="1">
      <c r="B29" t="str">
        <f>wyniki!B39</f>
        <v>Szymańska Joanna</v>
      </c>
      <c r="C29" s="19">
        <f>wyniki!G39</f>
        <v>0</v>
      </c>
      <c r="D29" s="18">
        <v>2.7999999999999998E-4</v>
      </c>
      <c r="E29" s="19">
        <f t="shared" si="0"/>
        <v>2.7999999999999998E-4</v>
      </c>
      <c r="F29" t="str">
        <f>wyniki!$A$35</f>
        <v>SP2 Chorzele</v>
      </c>
      <c r="J29" s="93">
        <f t="shared" si="1"/>
        <v>0</v>
      </c>
      <c r="K29" s="77">
        <f>LARGE($E$2:$E$241,28)</f>
        <v>2.1299999999999999E-3</v>
      </c>
      <c r="L29" s="69">
        <f t="shared" si="2"/>
        <v>213</v>
      </c>
      <c r="M29" s="85">
        <f t="shared" si="3"/>
        <v>0</v>
      </c>
      <c r="N29" s="39">
        <v>28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2:29" ht="17.25" thickTop="1" thickBot="1">
      <c r="B30" t="str">
        <f>wyniki!B40</f>
        <v>Tłoczkowska Marta</v>
      </c>
      <c r="C30" s="19">
        <f>wyniki!G40</f>
        <v>0</v>
      </c>
      <c r="D30" s="18">
        <v>2.9E-4</v>
      </c>
      <c r="E30" s="19">
        <f t="shared" si="0"/>
        <v>2.9E-4</v>
      </c>
      <c r="F30" t="str">
        <f>wyniki!$A$35</f>
        <v>SP2 Chorzele</v>
      </c>
      <c r="J30" s="93">
        <f t="shared" si="1"/>
        <v>0</v>
      </c>
      <c r="K30" s="77">
        <f>LARGE($E$2:$E$241,29)</f>
        <v>2.1199999999999999E-3</v>
      </c>
      <c r="L30" s="69">
        <f t="shared" si="2"/>
        <v>212</v>
      </c>
      <c r="M30" s="85">
        <f t="shared" si="3"/>
        <v>0</v>
      </c>
      <c r="N30" s="39">
        <v>29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2:29" ht="17.25" thickTop="1" thickBot="1">
      <c r="B31" t="str">
        <f>wyniki!B41</f>
        <v>Woźniak Maja</v>
      </c>
      <c r="C31" s="19">
        <f>wyniki!G41</f>
        <v>0</v>
      </c>
      <c r="D31" s="18">
        <v>2.9999999999999997E-4</v>
      </c>
      <c r="E31" s="19">
        <f t="shared" si="0"/>
        <v>2.9999999999999997E-4</v>
      </c>
      <c r="F31" t="str">
        <f>wyniki!$A$35</f>
        <v>SP2 Chorzele</v>
      </c>
      <c r="J31" s="93">
        <f t="shared" si="1"/>
        <v>0</v>
      </c>
      <c r="K31" s="77">
        <f>LARGE($E$2:$E$241,30)</f>
        <v>2.1099999999999999E-3</v>
      </c>
      <c r="L31" s="69">
        <f t="shared" si="2"/>
        <v>211</v>
      </c>
      <c r="M31" s="85">
        <f t="shared" si="3"/>
        <v>0</v>
      </c>
      <c r="N31" s="39">
        <v>30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2:29" ht="17.25" thickTop="1" thickBot="1">
      <c r="B32" t="str">
        <f>wyniki!B43</f>
        <v>Borys Paulina</v>
      </c>
      <c r="C32" s="19">
        <f>wyniki!G43</f>
        <v>0</v>
      </c>
      <c r="D32" s="18">
        <v>3.1E-4</v>
      </c>
      <c r="E32" s="19">
        <f t="shared" si="0"/>
        <v>3.1E-4</v>
      </c>
      <c r="F32" t="str">
        <f>wyniki!$A$42</f>
        <v>SP Bieniewice</v>
      </c>
      <c r="J32" s="93">
        <f t="shared" si="1"/>
        <v>0</v>
      </c>
      <c r="K32" s="77">
        <f>LARGE($E$2:$E$241,31)</f>
        <v>2.0999999999999999E-3</v>
      </c>
      <c r="L32" s="69">
        <f t="shared" si="2"/>
        <v>210</v>
      </c>
      <c r="M32" s="85">
        <f t="shared" si="3"/>
        <v>0</v>
      </c>
      <c r="N32" s="39">
        <v>31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2:29" ht="17.25" thickTop="1" thickBot="1">
      <c r="B33" t="str">
        <f>wyniki!B44</f>
        <v>Krzycka Joanna</v>
      </c>
      <c r="C33" s="19">
        <f>wyniki!G44</f>
        <v>0</v>
      </c>
      <c r="D33" s="18">
        <v>3.2000000000000003E-4</v>
      </c>
      <c r="E33" s="19">
        <f t="shared" si="0"/>
        <v>3.2000000000000003E-4</v>
      </c>
      <c r="F33" t="str">
        <f>wyniki!$A$42</f>
        <v>SP Bieniewice</v>
      </c>
      <c r="J33" s="93">
        <f t="shared" si="1"/>
        <v>0</v>
      </c>
      <c r="K33" s="77">
        <f>LARGE($E$2:$E$241,32)</f>
        <v>2.0899999999999998E-3</v>
      </c>
      <c r="L33" s="69">
        <f t="shared" si="2"/>
        <v>209</v>
      </c>
      <c r="M33" s="85">
        <f t="shared" si="3"/>
        <v>0</v>
      </c>
      <c r="N33" s="39">
        <v>32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2:29" ht="17.25" thickTop="1" thickBot="1">
      <c r="B34" t="str">
        <f>wyniki!B45</f>
        <v>Obrębska Maja</v>
      </c>
      <c r="C34" s="19">
        <f>wyniki!G45</f>
        <v>0</v>
      </c>
      <c r="D34" s="18">
        <v>3.3E-4</v>
      </c>
      <c r="E34" s="19">
        <f t="shared" si="0"/>
        <v>3.3E-4</v>
      </c>
      <c r="F34" t="str">
        <f>wyniki!$A$42</f>
        <v>SP Bieniewice</v>
      </c>
      <c r="J34" s="93">
        <f t="shared" si="1"/>
        <v>0</v>
      </c>
      <c r="K34" s="77">
        <f>LARGE($E$2:$E$241,33)</f>
        <v>2.0799999999999998E-3</v>
      </c>
      <c r="L34" s="69">
        <f t="shared" si="2"/>
        <v>208</v>
      </c>
      <c r="M34" s="85">
        <f t="shared" si="3"/>
        <v>0</v>
      </c>
      <c r="N34" s="39">
        <v>33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2:29" ht="17.25" thickTop="1" thickBot="1">
      <c r="B35" t="str">
        <f>wyniki!B46</f>
        <v>Wachowiak Maja</v>
      </c>
      <c r="C35" s="19">
        <f>wyniki!G46</f>
        <v>0</v>
      </c>
      <c r="D35" s="18">
        <v>3.4000000000000002E-4</v>
      </c>
      <c r="E35" s="19">
        <f t="shared" si="0"/>
        <v>3.4000000000000002E-4</v>
      </c>
      <c r="F35" t="str">
        <f>wyniki!$A$42</f>
        <v>SP Bieniewice</v>
      </c>
      <c r="J35" s="93">
        <f t="shared" si="1"/>
        <v>0</v>
      </c>
      <c r="K35" s="77">
        <f>LARGE($E$2:$E$241,34)</f>
        <v>2.0699999999999998E-3</v>
      </c>
      <c r="L35" s="69">
        <f t="shared" si="2"/>
        <v>207</v>
      </c>
      <c r="M35" s="85">
        <f t="shared" si="3"/>
        <v>0</v>
      </c>
      <c r="N35" s="39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2:29" ht="17.25" thickTop="1" thickBot="1">
      <c r="B36" t="str">
        <f>wyniki!B47</f>
        <v>Wolska Julia</v>
      </c>
      <c r="C36" s="19">
        <f>wyniki!G47</f>
        <v>0</v>
      </c>
      <c r="D36" s="18">
        <v>3.5E-4</v>
      </c>
      <c r="E36" s="19">
        <f t="shared" si="0"/>
        <v>3.5E-4</v>
      </c>
      <c r="F36" t="str">
        <f>wyniki!$A$42</f>
        <v>SP Bieniewice</v>
      </c>
      <c r="J36" s="93">
        <f t="shared" si="1"/>
        <v>0</v>
      </c>
      <c r="K36" s="77">
        <f>LARGE($E$2:$E$241,35)</f>
        <v>2.0600000000000002E-3</v>
      </c>
      <c r="L36" s="69">
        <f t="shared" si="2"/>
        <v>206</v>
      </c>
      <c r="M36" s="85">
        <f t="shared" si="3"/>
        <v>0</v>
      </c>
      <c r="N36" s="39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2:29" ht="17.25" thickTop="1" thickBot="1">
      <c r="B37" t="str">
        <f>wyniki!B48</f>
        <v>Zasowska Zofia</v>
      </c>
      <c r="C37" s="19">
        <f>wyniki!G48</f>
        <v>0</v>
      </c>
      <c r="D37" s="18">
        <v>3.6000000000000002E-4</v>
      </c>
      <c r="E37" s="19">
        <f t="shared" si="0"/>
        <v>3.6000000000000002E-4</v>
      </c>
      <c r="F37" t="str">
        <f>wyniki!$A$42</f>
        <v>SP Bieniewice</v>
      </c>
      <c r="J37" s="93">
        <f t="shared" si="1"/>
        <v>0</v>
      </c>
      <c r="K37" s="77">
        <f>LARGE($E$2:$E$241,36)</f>
        <v>2.0500000000000002E-3</v>
      </c>
      <c r="L37" s="69">
        <f t="shared" si="2"/>
        <v>205</v>
      </c>
      <c r="M37" s="85">
        <f t="shared" si="3"/>
        <v>0</v>
      </c>
      <c r="N37" s="39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2:29" ht="17.25" thickTop="1" thickBot="1">
      <c r="B38" t="str">
        <f>wyniki!B50</f>
        <v>Zabadała Aleksandra</v>
      </c>
      <c r="C38" s="19">
        <f>wyniki!G50</f>
        <v>0</v>
      </c>
      <c r="D38" s="18">
        <v>3.6999999999999999E-4</v>
      </c>
      <c r="E38" s="19">
        <f t="shared" si="0"/>
        <v>3.6999999999999999E-4</v>
      </c>
      <c r="F38" t="str">
        <f>wyniki!$A$49</f>
        <v>SP2 Węgrów</v>
      </c>
      <c r="J38" s="93">
        <f t="shared" si="1"/>
        <v>0</v>
      </c>
      <c r="K38" s="77">
        <f>LARGE($E$2:$E$241,37)</f>
        <v>2.0400000000000001E-3</v>
      </c>
      <c r="L38" s="69">
        <f t="shared" si="2"/>
        <v>204</v>
      </c>
      <c r="M38" s="85">
        <f t="shared" si="3"/>
        <v>0</v>
      </c>
      <c r="N38" s="39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2:29" ht="17.25" thickTop="1" thickBot="1">
      <c r="B39" t="str">
        <f>wyniki!B51</f>
        <v>Jachowicz Roksana</v>
      </c>
      <c r="C39" s="19">
        <f>wyniki!G51</f>
        <v>0</v>
      </c>
      <c r="D39" s="18">
        <v>3.8000000000000002E-4</v>
      </c>
      <c r="E39" s="19">
        <f t="shared" si="0"/>
        <v>3.8000000000000002E-4</v>
      </c>
      <c r="F39" t="str">
        <f>wyniki!$A$49</f>
        <v>SP2 Węgrów</v>
      </c>
      <c r="J39" s="93">
        <f t="shared" si="1"/>
        <v>0</v>
      </c>
      <c r="K39" s="77">
        <f>LARGE($E$2:$E$241,38)</f>
        <v>2.0300000000000001E-3</v>
      </c>
      <c r="L39" s="69">
        <f t="shared" si="2"/>
        <v>203</v>
      </c>
      <c r="M39" s="85">
        <f t="shared" si="3"/>
        <v>0</v>
      </c>
      <c r="N39" s="39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2:29" ht="17.25" thickTop="1" thickBot="1">
      <c r="B40" t="str">
        <f>wyniki!B52</f>
        <v>Mikołajewska Iga</v>
      </c>
      <c r="C40" s="19">
        <f>wyniki!G52</f>
        <v>0</v>
      </c>
      <c r="D40" s="18">
        <v>3.8999999999999999E-4</v>
      </c>
      <c r="E40" s="19">
        <f t="shared" si="0"/>
        <v>3.8999999999999999E-4</v>
      </c>
      <c r="F40" t="str">
        <f>wyniki!$A$49</f>
        <v>SP2 Węgrów</v>
      </c>
      <c r="J40" s="93">
        <f t="shared" si="1"/>
        <v>0</v>
      </c>
      <c r="K40" s="77">
        <f>LARGE($E$2:$E$241,39)</f>
        <v>2.0200000000000001E-3</v>
      </c>
      <c r="L40" s="69">
        <f t="shared" si="2"/>
        <v>202</v>
      </c>
      <c r="M40" s="85">
        <f t="shared" si="3"/>
        <v>0</v>
      </c>
      <c r="N40" s="39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2:29" ht="17.25" thickTop="1" thickBot="1">
      <c r="B41" t="str">
        <f>wyniki!B53</f>
        <v>Wąsożnik Zofia</v>
      </c>
      <c r="C41" s="19">
        <f>wyniki!G53</f>
        <v>0</v>
      </c>
      <c r="D41" s="18">
        <v>4.0000000000000002E-4</v>
      </c>
      <c r="E41" s="19">
        <f t="shared" si="0"/>
        <v>4.0000000000000002E-4</v>
      </c>
      <c r="F41" t="str">
        <f>wyniki!$A$49</f>
        <v>SP2 Węgrów</v>
      </c>
      <c r="J41" s="93">
        <f t="shared" si="1"/>
        <v>0</v>
      </c>
      <c r="K41" s="77">
        <f>LARGE($E$2:$E$241,40)</f>
        <v>2.0100000000000001E-3</v>
      </c>
      <c r="L41" s="69">
        <f t="shared" si="2"/>
        <v>201</v>
      </c>
      <c r="M41" s="85">
        <f t="shared" si="3"/>
        <v>0</v>
      </c>
      <c r="N41" s="39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2:29" ht="17.25" thickTop="1" thickBot="1">
      <c r="B42" t="str">
        <f>wyniki!B54</f>
        <v>Wrzeszcz Anna</v>
      </c>
      <c r="C42" s="19">
        <f>wyniki!G54</f>
        <v>0</v>
      </c>
      <c r="D42" s="18">
        <v>4.0999999999999999E-4</v>
      </c>
      <c r="E42" s="19">
        <f t="shared" si="0"/>
        <v>4.0999999999999999E-4</v>
      </c>
      <c r="F42" t="str">
        <f>wyniki!$A$49</f>
        <v>SP2 Węgrów</v>
      </c>
      <c r="J42" s="93">
        <f t="shared" si="1"/>
        <v>0</v>
      </c>
      <c r="K42" s="77">
        <f>LARGE($E$2:$E$241,41)</f>
        <v>2E-3</v>
      </c>
      <c r="L42" s="69">
        <f t="shared" si="2"/>
        <v>200</v>
      </c>
      <c r="M42" s="85">
        <f t="shared" si="3"/>
        <v>0</v>
      </c>
      <c r="N42" s="39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2:29" ht="17.25" thickTop="1" thickBot="1">
      <c r="B43" t="str">
        <f>wyniki!B55</f>
        <v>Kmieć Zuzanna</v>
      </c>
      <c r="C43" s="19">
        <f>wyniki!G55</f>
        <v>0</v>
      </c>
      <c r="D43" s="18">
        <v>4.2000000000000002E-4</v>
      </c>
      <c r="E43" s="19">
        <f t="shared" si="0"/>
        <v>4.2000000000000002E-4</v>
      </c>
      <c r="F43" t="str">
        <f>wyniki!$A$49</f>
        <v>SP2 Węgrów</v>
      </c>
      <c r="J43" s="93">
        <f t="shared" si="1"/>
        <v>0</v>
      </c>
      <c r="K43" s="77">
        <f>LARGE($E$2:$E$241,42)</f>
        <v>1.99E-3</v>
      </c>
      <c r="L43" s="69">
        <f t="shared" si="2"/>
        <v>199</v>
      </c>
      <c r="M43" s="85">
        <f t="shared" si="3"/>
        <v>0</v>
      </c>
      <c r="N43" s="39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2:29" ht="17.25" thickTop="1" thickBot="1">
      <c r="B44" t="str">
        <f>wyniki!B57</f>
        <v>Chromińska Maja</v>
      </c>
      <c r="C44" s="19">
        <f>wyniki!G57</f>
        <v>0</v>
      </c>
      <c r="D44" s="18">
        <v>4.2999999999999999E-4</v>
      </c>
      <c r="E44" s="19">
        <f t="shared" si="0"/>
        <v>4.2999999999999999E-4</v>
      </c>
      <c r="F44" t="str">
        <f>wyniki!$A$56</f>
        <v>SP11 Siedlce</v>
      </c>
      <c r="J44" s="93">
        <f t="shared" si="1"/>
        <v>0</v>
      </c>
      <c r="K44" s="77">
        <f>LARGE($E$2:$E$241,43)</f>
        <v>1.98E-3</v>
      </c>
      <c r="L44" s="69">
        <f t="shared" si="2"/>
        <v>198</v>
      </c>
      <c r="M44" s="85">
        <f t="shared" si="3"/>
        <v>0</v>
      </c>
      <c r="N44" s="39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2:29" ht="17.25" thickTop="1" thickBot="1">
      <c r="B45" t="str">
        <f>wyniki!B58</f>
        <v>Fiuk Julia</v>
      </c>
      <c r="C45" s="19">
        <f>wyniki!G58</f>
        <v>0</v>
      </c>
      <c r="D45" s="18">
        <v>4.4000000000000002E-4</v>
      </c>
      <c r="E45" s="19">
        <f t="shared" si="0"/>
        <v>4.4000000000000002E-4</v>
      </c>
      <c r="F45" t="str">
        <f>wyniki!$A$56</f>
        <v>SP11 Siedlce</v>
      </c>
      <c r="J45" s="93">
        <f t="shared" si="1"/>
        <v>0</v>
      </c>
      <c r="K45" s="77">
        <f>LARGE($E$2:$E$241,44)</f>
        <v>1.97E-3</v>
      </c>
      <c r="L45" s="69">
        <f t="shared" si="2"/>
        <v>197</v>
      </c>
      <c r="M45" s="85">
        <f t="shared" si="3"/>
        <v>0</v>
      </c>
      <c r="N45" s="39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2:29" ht="17.25" thickTop="1" thickBot="1">
      <c r="B46" t="str">
        <f>wyniki!B59</f>
        <v>Kowal Natalia</v>
      </c>
      <c r="C46" s="19">
        <f>wyniki!G59</f>
        <v>0</v>
      </c>
      <c r="D46" s="18">
        <v>4.4999999999999999E-4</v>
      </c>
      <c r="E46" s="19">
        <f t="shared" si="0"/>
        <v>4.4999999999999999E-4</v>
      </c>
      <c r="F46" t="str">
        <f>wyniki!$A$56</f>
        <v>SP11 Siedlce</v>
      </c>
      <c r="J46" s="93">
        <f t="shared" si="1"/>
        <v>0</v>
      </c>
      <c r="K46" s="77">
        <f>LARGE($E$2:$E$241,45)</f>
        <v>1.9599999999999999E-3</v>
      </c>
      <c r="L46" s="69">
        <f t="shared" si="2"/>
        <v>196</v>
      </c>
      <c r="M46" s="85">
        <f t="shared" si="3"/>
        <v>0</v>
      </c>
      <c r="N46" s="39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2:29" ht="17.25" thickTop="1" thickBot="1">
      <c r="B47" t="str">
        <f>wyniki!B60</f>
        <v>Mościcka Gabriela</v>
      </c>
      <c r="C47" s="19">
        <f>wyniki!G60</f>
        <v>0</v>
      </c>
      <c r="D47" s="18">
        <v>4.6000000000000001E-4</v>
      </c>
      <c r="E47" s="19">
        <f t="shared" si="0"/>
        <v>4.6000000000000001E-4</v>
      </c>
      <c r="F47" t="str">
        <f>wyniki!$A$56</f>
        <v>SP11 Siedlce</v>
      </c>
      <c r="J47" s="93">
        <f t="shared" si="1"/>
        <v>0</v>
      </c>
      <c r="K47" s="77">
        <f>LARGE($E$2:$E$241,46)</f>
        <v>1.9499999999999999E-3</v>
      </c>
      <c r="L47" s="69">
        <f t="shared" si="2"/>
        <v>195</v>
      </c>
      <c r="M47" s="85">
        <f t="shared" si="3"/>
        <v>0</v>
      </c>
      <c r="N47" s="39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2:29" ht="17.25" thickTop="1" thickBot="1">
      <c r="B48" t="str">
        <f>wyniki!B61</f>
        <v>Niedziółka Weronika</v>
      </c>
      <c r="C48" s="19">
        <f>wyniki!G61</f>
        <v>0</v>
      </c>
      <c r="D48" s="18">
        <v>4.6999999999999999E-4</v>
      </c>
      <c r="E48" s="19">
        <f t="shared" si="0"/>
        <v>4.6999999999999999E-4</v>
      </c>
      <c r="F48" t="str">
        <f>wyniki!$A$56</f>
        <v>SP11 Siedlce</v>
      </c>
      <c r="J48" s="93">
        <f t="shared" si="1"/>
        <v>0</v>
      </c>
      <c r="K48" s="77">
        <f>LARGE($E$2:$E$241,47)</f>
        <v>1.9400000000000001E-3</v>
      </c>
      <c r="L48" s="69">
        <f t="shared" si="2"/>
        <v>194</v>
      </c>
      <c r="M48" s="85">
        <f t="shared" si="3"/>
        <v>0</v>
      </c>
      <c r="N48" s="39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2:29" ht="17.25" thickTop="1" thickBot="1">
      <c r="B49" t="str">
        <f>wyniki!B62</f>
        <v>Rytel Emilia</v>
      </c>
      <c r="C49" s="19">
        <f>wyniki!G62</f>
        <v>0</v>
      </c>
      <c r="D49" s="18">
        <v>4.8000000000000001E-4</v>
      </c>
      <c r="E49" s="19">
        <f t="shared" si="0"/>
        <v>4.8000000000000001E-4</v>
      </c>
      <c r="F49" t="str">
        <f>wyniki!$A$56</f>
        <v>SP11 Siedlce</v>
      </c>
      <c r="J49" s="93">
        <f t="shared" si="1"/>
        <v>0</v>
      </c>
      <c r="K49" s="77">
        <f>LARGE($E$2:$E$241,48)</f>
        <v>1.9300000000000001E-3</v>
      </c>
      <c r="L49" s="69">
        <f t="shared" si="2"/>
        <v>193</v>
      </c>
      <c r="M49" s="85">
        <f t="shared" si="3"/>
        <v>0</v>
      </c>
      <c r="N49" s="39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2:29" ht="17.25" thickTop="1" thickBot="1">
      <c r="B50" t="str">
        <f>wyniki!B64</f>
        <v>Bąbiak Gabriela</v>
      </c>
      <c r="C50" s="19">
        <f>wyniki!G64</f>
        <v>0</v>
      </c>
      <c r="D50" s="18">
        <v>4.8999999999999998E-4</v>
      </c>
      <c r="E50" s="19">
        <f t="shared" si="0"/>
        <v>4.8999999999999998E-4</v>
      </c>
      <c r="F50" t="str">
        <f>wyniki!$A$63</f>
        <v>SP Podkowa Leśna</v>
      </c>
      <c r="J50" s="93">
        <f t="shared" si="1"/>
        <v>0</v>
      </c>
      <c r="K50" s="77">
        <f>LARGE($E$2:$E$241,49)</f>
        <v>1.92E-3</v>
      </c>
      <c r="L50" s="69">
        <f t="shared" si="2"/>
        <v>192</v>
      </c>
      <c r="M50" s="85">
        <f t="shared" si="3"/>
        <v>0</v>
      </c>
      <c r="N50" s="39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2:29" ht="17.25" thickTop="1" thickBot="1">
      <c r="B51" t="str">
        <f>wyniki!B65</f>
        <v>Hajdenrach Antonina</v>
      </c>
      <c r="C51" s="19">
        <f>wyniki!G65</f>
        <v>0</v>
      </c>
      <c r="D51" s="18">
        <v>5.0000000000000001E-4</v>
      </c>
      <c r="E51" s="19">
        <f t="shared" si="0"/>
        <v>5.0000000000000001E-4</v>
      </c>
      <c r="F51" t="str">
        <f>wyniki!$A$63</f>
        <v>SP Podkowa Leśna</v>
      </c>
      <c r="J51" s="93">
        <f t="shared" si="1"/>
        <v>0</v>
      </c>
      <c r="K51" s="77">
        <f>LARGE($E$2:$E$241,50)</f>
        <v>1.91E-3</v>
      </c>
      <c r="L51" s="69">
        <f t="shared" si="2"/>
        <v>191</v>
      </c>
      <c r="M51" s="85">
        <f t="shared" si="3"/>
        <v>0</v>
      </c>
      <c r="N51" s="39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2:29" ht="17.25" thickTop="1" thickBot="1">
      <c r="B52" t="str">
        <f>wyniki!B66</f>
        <v>Kolenda Zofia</v>
      </c>
      <c r="C52" s="19">
        <f>wyniki!G66</f>
        <v>0</v>
      </c>
      <c r="D52" s="18">
        <v>5.1000000000000004E-4</v>
      </c>
      <c r="E52" s="19">
        <f t="shared" si="0"/>
        <v>5.1000000000000004E-4</v>
      </c>
      <c r="F52" t="str">
        <f>wyniki!$A$63</f>
        <v>SP Podkowa Leśna</v>
      </c>
      <c r="J52" s="93">
        <f t="shared" si="1"/>
        <v>0</v>
      </c>
      <c r="K52" s="77">
        <f>LARGE($E$2:$E$241,51)</f>
        <v>1.9E-3</v>
      </c>
      <c r="L52" s="69">
        <f t="shared" si="2"/>
        <v>190</v>
      </c>
      <c r="M52" s="85">
        <f t="shared" si="3"/>
        <v>0</v>
      </c>
      <c r="N52" s="39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2:29" ht="17.25" thickTop="1" thickBot="1">
      <c r="B53" t="str">
        <f>wyniki!B67</f>
        <v>Krutkowska Amelia</v>
      </c>
      <c r="C53" s="19">
        <f>wyniki!G67</f>
        <v>0</v>
      </c>
      <c r="D53" s="18">
        <v>5.1999999999999995E-4</v>
      </c>
      <c r="E53" s="19">
        <f t="shared" si="0"/>
        <v>5.1999999999999995E-4</v>
      </c>
      <c r="F53" t="str">
        <f>wyniki!$A$63</f>
        <v>SP Podkowa Leśna</v>
      </c>
      <c r="J53" s="93">
        <f t="shared" si="1"/>
        <v>0</v>
      </c>
      <c r="K53" s="77">
        <f>LARGE($E$2:$E$241,52)</f>
        <v>1.89E-3</v>
      </c>
      <c r="L53" s="69">
        <f t="shared" si="2"/>
        <v>189</v>
      </c>
      <c r="M53" s="85">
        <f t="shared" si="3"/>
        <v>0</v>
      </c>
      <c r="N53" s="39">
        <v>52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2:29" ht="17.25" thickTop="1" thickBot="1">
      <c r="B54" t="str">
        <f>wyniki!B68</f>
        <v>Macutkiewicz Wiktoria</v>
      </c>
      <c r="C54" s="19">
        <f>wyniki!G68</f>
        <v>0</v>
      </c>
      <c r="D54" s="18">
        <v>5.2999999999999998E-4</v>
      </c>
      <c r="E54" s="19">
        <f t="shared" si="0"/>
        <v>5.2999999999999998E-4</v>
      </c>
      <c r="F54" t="str">
        <f>wyniki!$A$63</f>
        <v>SP Podkowa Leśna</v>
      </c>
      <c r="J54" s="93">
        <f t="shared" si="1"/>
        <v>0</v>
      </c>
      <c r="K54" s="77">
        <f>LARGE($E$2:$E$241,53)</f>
        <v>1.8799999999999999E-3</v>
      </c>
      <c r="L54" s="69">
        <f t="shared" si="2"/>
        <v>188</v>
      </c>
      <c r="M54" s="85">
        <f t="shared" si="3"/>
        <v>0</v>
      </c>
      <c r="N54" s="39">
        <v>53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2:29" ht="17.25" thickTop="1" thickBot="1">
      <c r="B55" t="str">
        <f>wyniki!B69</f>
        <v>Tryzno Alicja</v>
      </c>
      <c r="C55" s="19">
        <f>wyniki!G69</f>
        <v>0</v>
      </c>
      <c r="D55" s="18">
        <v>5.4000000000000001E-4</v>
      </c>
      <c r="E55" s="19">
        <f t="shared" si="0"/>
        <v>5.4000000000000001E-4</v>
      </c>
      <c r="F55" t="str">
        <f>wyniki!$A$63</f>
        <v>SP Podkowa Leśna</v>
      </c>
      <c r="J55" s="93">
        <f t="shared" si="1"/>
        <v>0</v>
      </c>
      <c r="K55" s="77">
        <f>LARGE($E$2:$E$241,54)</f>
        <v>1.8699999999999999E-3</v>
      </c>
      <c r="L55" s="69">
        <f t="shared" si="2"/>
        <v>187</v>
      </c>
      <c r="M55" s="85">
        <f t="shared" si="3"/>
        <v>0</v>
      </c>
      <c r="N55" s="39">
        <v>54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2:29" ht="17.25" thickTop="1" thickBot="1">
      <c r="B56" t="str">
        <f>wyniki!B71</f>
        <v>Brzezińska Kinga</v>
      </c>
      <c r="C56" s="19">
        <f>wyniki!G71</f>
        <v>0</v>
      </c>
      <c r="D56" s="18">
        <v>5.5000000000000003E-4</v>
      </c>
      <c r="E56" s="19">
        <f t="shared" si="0"/>
        <v>5.5000000000000003E-4</v>
      </c>
      <c r="F56" t="str">
        <f>wyniki!$A$70</f>
        <v>ZSP Lesznowola</v>
      </c>
      <c r="J56" s="93">
        <f t="shared" si="1"/>
        <v>0</v>
      </c>
      <c r="K56" s="77">
        <f>LARGE($E$2:$E$241,55)</f>
        <v>1.8600000000000001E-3</v>
      </c>
      <c r="L56" s="69">
        <f t="shared" si="2"/>
        <v>186</v>
      </c>
      <c r="M56" s="85">
        <f t="shared" si="3"/>
        <v>0</v>
      </c>
      <c r="N56" s="39">
        <v>55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2:29" ht="17.25" thickTop="1" thickBot="1">
      <c r="B57" t="str">
        <f>wyniki!B72</f>
        <v>Marcisz Anna</v>
      </c>
      <c r="C57" s="19">
        <f>wyniki!G72</f>
        <v>0</v>
      </c>
      <c r="D57" s="18">
        <v>5.5999999999999995E-4</v>
      </c>
      <c r="E57" s="19">
        <f t="shared" si="0"/>
        <v>5.5999999999999995E-4</v>
      </c>
      <c r="F57" t="str">
        <f>wyniki!$A$70</f>
        <v>ZSP Lesznowola</v>
      </c>
      <c r="J57" s="93">
        <f t="shared" si="1"/>
        <v>0</v>
      </c>
      <c r="K57" s="77">
        <f>LARGE($E$2:$E$241,56)</f>
        <v>1.8500000000000001E-3</v>
      </c>
      <c r="L57" s="69">
        <f t="shared" si="2"/>
        <v>185</v>
      </c>
      <c r="M57" s="85">
        <f t="shared" si="3"/>
        <v>0</v>
      </c>
      <c r="N57" s="39">
        <v>56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2:29" ht="17.25" thickTop="1" thickBot="1">
      <c r="B58" t="str">
        <f>wyniki!B73</f>
        <v>Mariańska Magdalena</v>
      </c>
      <c r="C58" s="19">
        <f>wyniki!G73</f>
        <v>0</v>
      </c>
      <c r="D58" s="18">
        <v>5.6999999999999998E-4</v>
      </c>
      <c r="E58" s="19">
        <f t="shared" si="0"/>
        <v>5.6999999999999998E-4</v>
      </c>
      <c r="F58" t="str">
        <f>wyniki!$A$70</f>
        <v>ZSP Lesznowola</v>
      </c>
      <c r="J58" s="93">
        <f t="shared" si="1"/>
        <v>0</v>
      </c>
      <c r="K58" s="77">
        <f>LARGE($E$2:$E$241,57)</f>
        <v>1.8400000000000001E-3</v>
      </c>
      <c r="L58" s="69">
        <f t="shared" si="2"/>
        <v>184</v>
      </c>
      <c r="M58" s="85">
        <f t="shared" si="3"/>
        <v>0</v>
      </c>
      <c r="N58" s="39">
        <v>57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2:29" ht="17.25" thickTop="1" thickBot="1">
      <c r="B59" t="str">
        <f>wyniki!B74</f>
        <v>Pazio Zofia</v>
      </c>
      <c r="C59" s="19">
        <f>wyniki!G74</f>
        <v>0</v>
      </c>
      <c r="D59" s="18">
        <v>5.8E-4</v>
      </c>
      <c r="E59" s="19">
        <f t="shared" si="0"/>
        <v>5.8E-4</v>
      </c>
      <c r="F59" t="str">
        <f>wyniki!$A$70</f>
        <v>ZSP Lesznowola</v>
      </c>
      <c r="J59" s="93">
        <f t="shared" si="1"/>
        <v>0</v>
      </c>
      <c r="K59" s="77">
        <f>LARGE($E$2:$E$241,58)</f>
        <v>1.83E-3</v>
      </c>
      <c r="L59" s="69">
        <f t="shared" si="2"/>
        <v>183</v>
      </c>
      <c r="M59" s="85">
        <f t="shared" si="3"/>
        <v>0</v>
      </c>
      <c r="N59" s="39">
        <v>58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2:29" ht="17.25" thickTop="1" thickBot="1">
      <c r="B60" t="str">
        <f>wyniki!B75</f>
        <v>Przepiórka Julia</v>
      </c>
      <c r="C60" s="19">
        <f>wyniki!G75</f>
        <v>0</v>
      </c>
      <c r="D60" s="18">
        <v>5.9000000000000003E-4</v>
      </c>
      <c r="E60" s="19">
        <f t="shared" si="0"/>
        <v>5.9000000000000003E-4</v>
      </c>
      <c r="F60" t="str">
        <f>wyniki!$A$70</f>
        <v>ZSP Lesznowola</v>
      </c>
      <c r="J60" s="93">
        <f t="shared" si="1"/>
        <v>0</v>
      </c>
      <c r="K60" s="77">
        <f>LARGE($E$2:$E$241,59)</f>
        <v>1.82E-3</v>
      </c>
      <c r="L60" s="69">
        <f t="shared" si="2"/>
        <v>182</v>
      </c>
      <c r="M60" s="85">
        <f t="shared" si="3"/>
        <v>0</v>
      </c>
      <c r="N60" s="39">
        <v>59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2:29" ht="17.25" thickTop="1" thickBot="1">
      <c r="B61" t="str">
        <f>wyniki!B76</f>
        <v>Szablewska Lena</v>
      </c>
      <c r="C61" s="19">
        <f>wyniki!G76</f>
        <v>0</v>
      </c>
      <c r="D61" s="18">
        <v>5.9999999999999995E-4</v>
      </c>
      <c r="E61" s="19">
        <f t="shared" si="0"/>
        <v>5.9999999999999995E-4</v>
      </c>
      <c r="F61" t="str">
        <f>wyniki!$A$70</f>
        <v>ZSP Lesznowola</v>
      </c>
      <c r="J61" s="93">
        <f t="shared" si="1"/>
        <v>0</v>
      </c>
      <c r="K61" s="77">
        <f>LARGE($E$2:$E$241,60)</f>
        <v>1.81E-3</v>
      </c>
      <c r="L61" s="69">
        <f t="shared" si="2"/>
        <v>181</v>
      </c>
      <c r="M61" s="85">
        <f t="shared" si="3"/>
        <v>0</v>
      </c>
      <c r="N61" s="39">
        <v>60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2:29" ht="17.25" thickTop="1" thickBot="1">
      <c r="B62" t="str">
        <f>wyniki!B78</f>
        <v>Bany Monika</v>
      </c>
      <c r="C62" s="19">
        <f>wyniki!G78</f>
        <v>0</v>
      </c>
      <c r="D62" s="18">
        <v>6.0999999999999997E-4</v>
      </c>
      <c r="E62" s="19">
        <f t="shared" si="0"/>
        <v>6.0999999999999997E-4</v>
      </c>
      <c r="F62" t="str">
        <f>wyniki!$A$77</f>
        <v>SP3 Piaseczno</v>
      </c>
      <c r="J62" s="93">
        <f t="shared" si="1"/>
        <v>0</v>
      </c>
      <c r="K62" s="77">
        <f>LARGE($E$2:$E$241,61)</f>
        <v>1.8E-3</v>
      </c>
      <c r="L62" s="69">
        <f t="shared" si="2"/>
        <v>180</v>
      </c>
      <c r="M62" s="85">
        <f t="shared" si="3"/>
        <v>0</v>
      </c>
      <c r="N62" s="39">
        <v>61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2:29" ht="17.25" thickTop="1" thickBot="1">
      <c r="B63" t="str">
        <f>wyniki!B79</f>
        <v>Borysiuk Gaja</v>
      </c>
      <c r="C63" s="19">
        <f>wyniki!G79</f>
        <v>0</v>
      </c>
      <c r="D63" s="18">
        <v>6.2E-4</v>
      </c>
      <c r="E63" s="19">
        <f t="shared" si="0"/>
        <v>6.2E-4</v>
      </c>
      <c r="F63" t="str">
        <f>wyniki!$A$77</f>
        <v>SP3 Piaseczno</v>
      </c>
      <c r="J63" s="93">
        <f t="shared" si="1"/>
        <v>0</v>
      </c>
      <c r="K63" s="77">
        <f>LARGE($E$2:$E$241,62)</f>
        <v>1.7899999999999999E-3</v>
      </c>
      <c r="L63" s="69">
        <f t="shared" si="2"/>
        <v>179</v>
      </c>
      <c r="M63" s="85">
        <f t="shared" si="3"/>
        <v>0</v>
      </c>
      <c r="N63" s="39">
        <v>62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2:29" ht="17.25" thickTop="1" thickBot="1">
      <c r="B64" t="str">
        <f>wyniki!B80</f>
        <v>Sołtan Amelia</v>
      </c>
      <c r="C64" s="19">
        <f>wyniki!G80</f>
        <v>0</v>
      </c>
      <c r="D64" s="18">
        <v>6.3000000000000003E-4</v>
      </c>
      <c r="E64" s="19">
        <f t="shared" si="0"/>
        <v>6.3000000000000003E-4</v>
      </c>
      <c r="F64" t="str">
        <f>wyniki!$A$77</f>
        <v>SP3 Piaseczno</v>
      </c>
      <c r="J64" s="93">
        <f t="shared" si="1"/>
        <v>0</v>
      </c>
      <c r="K64" s="77">
        <f>LARGE($E$2:$E$241,63)</f>
        <v>1.7799999999999999E-3</v>
      </c>
      <c r="L64" s="69">
        <f t="shared" si="2"/>
        <v>178</v>
      </c>
      <c r="M64" s="85">
        <f t="shared" si="3"/>
        <v>0</v>
      </c>
      <c r="N64" s="39">
        <v>63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2:29" ht="17.25" thickTop="1" thickBot="1">
      <c r="B65" t="str">
        <f>wyniki!B81</f>
        <v>Spiechowicz Lidia</v>
      </c>
      <c r="C65" s="19">
        <f>wyniki!G81</f>
        <v>0</v>
      </c>
      <c r="D65" s="18">
        <v>6.4000000000000005E-4</v>
      </c>
      <c r="E65" s="19">
        <f t="shared" si="0"/>
        <v>6.4000000000000005E-4</v>
      </c>
      <c r="F65" t="str">
        <f>wyniki!$A$77</f>
        <v>SP3 Piaseczno</v>
      </c>
      <c r="J65" s="93">
        <f t="shared" si="1"/>
        <v>0</v>
      </c>
      <c r="K65" s="77">
        <f>LARGE($E$2:$E$241,64)</f>
        <v>1.7700000000000001E-3</v>
      </c>
      <c r="L65" s="69">
        <f t="shared" si="2"/>
        <v>177</v>
      </c>
      <c r="M65" s="85">
        <f t="shared" si="3"/>
        <v>0</v>
      </c>
      <c r="N65" s="39">
        <v>64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2:29" ht="17.25" thickTop="1" thickBot="1">
      <c r="B66" t="str">
        <f>wyniki!B82</f>
        <v>Szulc Amelia</v>
      </c>
      <c r="C66" s="19">
        <f>wyniki!G82</f>
        <v>0</v>
      </c>
      <c r="D66" s="18">
        <v>6.4999999999999997E-4</v>
      </c>
      <c r="E66" s="19">
        <f t="shared" si="0"/>
        <v>6.4999999999999997E-4</v>
      </c>
      <c r="F66" t="str">
        <f>wyniki!$A$77</f>
        <v>SP3 Piaseczno</v>
      </c>
      <c r="J66" s="93">
        <f t="shared" si="1"/>
        <v>0</v>
      </c>
      <c r="K66" s="77">
        <f>LARGE($E$2:$E$241,65)</f>
        <v>1.7600000000000001E-3</v>
      </c>
      <c r="L66" s="69">
        <f t="shared" si="2"/>
        <v>176</v>
      </c>
      <c r="M66" s="85">
        <f t="shared" si="3"/>
        <v>0</v>
      </c>
      <c r="N66" s="39">
        <v>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2:29" ht="17.25" thickTop="1" thickBot="1">
      <c r="B67" t="str">
        <f>wyniki!B83</f>
        <v>Wilczyńska Maria</v>
      </c>
      <c r="C67" s="19">
        <f>wyniki!G83</f>
        <v>0</v>
      </c>
      <c r="D67" s="18">
        <v>6.6E-4</v>
      </c>
      <c r="E67" s="19">
        <f t="shared" ref="E67:E130" si="4">C67+D67</f>
        <v>6.6E-4</v>
      </c>
      <c r="F67" t="str">
        <f>wyniki!$A$77</f>
        <v>SP3 Piaseczno</v>
      </c>
      <c r="J67" s="93">
        <f t="shared" ref="J67:J130" si="5">INDEX($B$2:$E$241,L67,1)</f>
        <v>0</v>
      </c>
      <c r="K67" s="77">
        <f>LARGE($E$2:$E$241,66)</f>
        <v>1.75E-3</v>
      </c>
      <c r="L67" s="69">
        <f t="shared" ref="L67:L130" si="6">MATCH(K67,$E$2:$E$241,0)</f>
        <v>175</v>
      </c>
      <c r="M67" s="85">
        <f t="shared" ref="M67:M130" si="7">INDEX($E$2:$F$241,L67,2)</f>
        <v>0</v>
      </c>
      <c r="N67" s="39">
        <v>66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2:29" ht="17.25" thickTop="1" thickBot="1">
      <c r="B68" t="str">
        <f>wyniki!B85</f>
        <v>Adamczyk Michalina</v>
      </c>
      <c r="C68" s="19">
        <f>wyniki!G85</f>
        <v>0</v>
      </c>
      <c r="D68" s="18">
        <v>6.7000000000000002E-4</v>
      </c>
      <c r="E68" s="19">
        <f t="shared" si="4"/>
        <v>6.7000000000000002E-4</v>
      </c>
      <c r="F68" t="str">
        <f>wyniki!$A$84</f>
        <v>ZSP Jedlińsk</v>
      </c>
      <c r="J68" s="93">
        <f t="shared" si="5"/>
        <v>0</v>
      </c>
      <c r="K68" s="77">
        <f>LARGE($E$2:$E$241,67)</f>
        <v>1.74E-3</v>
      </c>
      <c r="L68" s="69">
        <f t="shared" si="6"/>
        <v>174</v>
      </c>
      <c r="M68" s="85">
        <f t="shared" si="7"/>
        <v>0</v>
      </c>
      <c r="N68" s="39">
        <v>67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2:29" ht="17.25" thickTop="1" thickBot="1">
      <c r="B69" t="str">
        <f>wyniki!B86</f>
        <v>Dobrowolska Nikola</v>
      </c>
      <c r="C69" s="19">
        <f>wyniki!G86</f>
        <v>0</v>
      </c>
      <c r="D69" s="18">
        <v>6.8000000000000005E-4</v>
      </c>
      <c r="E69" s="19">
        <f t="shared" si="4"/>
        <v>6.8000000000000005E-4</v>
      </c>
      <c r="F69" t="str">
        <f>wyniki!$A$84</f>
        <v>ZSP Jedlińsk</v>
      </c>
      <c r="J69" s="93">
        <f t="shared" si="5"/>
        <v>0</v>
      </c>
      <c r="K69" s="77">
        <f>LARGE($E$2:$E$241,68)</f>
        <v>1.73E-3</v>
      </c>
      <c r="L69" s="69">
        <f t="shared" si="6"/>
        <v>173</v>
      </c>
      <c r="M69" s="85">
        <f t="shared" si="7"/>
        <v>0</v>
      </c>
      <c r="N69" s="39">
        <v>68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2:29" ht="17.25" thickTop="1" thickBot="1">
      <c r="B70" t="str">
        <f>wyniki!B87</f>
        <v>Gryz Amelia</v>
      </c>
      <c r="C70" s="19">
        <f>wyniki!G87</f>
        <v>0</v>
      </c>
      <c r="D70" s="18">
        <v>6.8999999999999997E-4</v>
      </c>
      <c r="E70" s="19">
        <f t="shared" si="4"/>
        <v>6.8999999999999997E-4</v>
      </c>
      <c r="F70" t="str">
        <f>wyniki!$A$84</f>
        <v>ZSP Jedlińsk</v>
      </c>
      <c r="J70" s="93">
        <f t="shared" si="5"/>
        <v>0</v>
      </c>
      <c r="K70" s="77">
        <f>LARGE($E$2:$E$241,69)</f>
        <v>1.72E-3</v>
      </c>
      <c r="L70" s="69">
        <f t="shared" si="6"/>
        <v>172</v>
      </c>
      <c r="M70" s="85">
        <f t="shared" si="7"/>
        <v>0</v>
      </c>
      <c r="N70" s="39">
        <v>69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2:29" ht="17.25" thickTop="1" thickBot="1">
      <c r="B71" t="str">
        <f>wyniki!B88</f>
        <v>Walczak Łucja</v>
      </c>
      <c r="C71" s="19">
        <f>wyniki!G88</f>
        <v>0</v>
      </c>
      <c r="D71" s="18">
        <v>6.9999999999999999E-4</v>
      </c>
      <c r="E71" s="19">
        <f t="shared" si="4"/>
        <v>6.9999999999999999E-4</v>
      </c>
      <c r="F71" t="str">
        <f>wyniki!$A$84</f>
        <v>ZSP Jedlińsk</v>
      </c>
      <c r="J71" s="93">
        <f t="shared" si="5"/>
        <v>0</v>
      </c>
      <c r="K71" s="77">
        <f>LARGE($E$2:$E$241,70)</f>
        <v>1.7099999999999999E-3</v>
      </c>
      <c r="L71" s="69">
        <f t="shared" si="6"/>
        <v>171</v>
      </c>
      <c r="M71" s="85">
        <f t="shared" si="7"/>
        <v>0</v>
      </c>
      <c r="N71" s="39">
        <v>70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2:29" ht="17.25" thickTop="1" thickBot="1">
      <c r="B72" t="str">
        <f>wyniki!B89</f>
        <v>Żaczek Maja</v>
      </c>
      <c r="C72" s="19">
        <f>wyniki!G89</f>
        <v>0</v>
      </c>
      <c r="D72" s="18">
        <v>7.1000000000000002E-4</v>
      </c>
      <c r="E72" s="19">
        <f t="shared" si="4"/>
        <v>7.1000000000000002E-4</v>
      </c>
      <c r="F72" t="str">
        <f>wyniki!$A$84</f>
        <v>ZSP Jedlińsk</v>
      </c>
      <c r="J72" s="93">
        <f t="shared" si="5"/>
        <v>0</v>
      </c>
      <c r="K72" s="77">
        <f>LARGE($E$2:$E$241,71)</f>
        <v>1.6999999999999999E-3</v>
      </c>
      <c r="L72" s="69">
        <f t="shared" si="6"/>
        <v>170</v>
      </c>
      <c r="M72" s="85">
        <f t="shared" si="7"/>
        <v>0</v>
      </c>
      <c r="N72" s="39">
        <v>71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2:29" ht="17.25" thickTop="1" thickBot="1">
      <c r="B73" t="str">
        <f>wyniki!B90</f>
        <v>Żaczek Nikola</v>
      </c>
      <c r="C73" s="19">
        <f>wyniki!G90</f>
        <v>0</v>
      </c>
      <c r="D73" s="18">
        <v>7.2000000000000005E-4</v>
      </c>
      <c r="E73" s="19">
        <f t="shared" si="4"/>
        <v>7.2000000000000005E-4</v>
      </c>
      <c r="F73" t="str">
        <f>wyniki!$A$84</f>
        <v>ZSP Jedlińsk</v>
      </c>
      <c r="J73" s="93">
        <f t="shared" si="5"/>
        <v>0</v>
      </c>
      <c r="K73" s="77">
        <f>LARGE($E$2:$E$241,72)</f>
        <v>1.6900000000000001E-3</v>
      </c>
      <c r="L73" s="69">
        <f t="shared" si="6"/>
        <v>169</v>
      </c>
      <c r="M73" s="85">
        <f t="shared" si="7"/>
        <v>0</v>
      </c>
      <c r="N73" s="39">
        <v>72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2:29" ht="17.25" thickTop="1" thickBot="1">
      <c r="B74">
        <f>wyniki!B92</f>
        <v>0</v>
      </c>
      <c r="C74" s="19">
        <f>wyniki!G92</f>
        <v>0</v>
      </c>
      <c r="D74" s="18">
        <v>7.2999999999999996E-4</v>
      </c>
      <c r="E74" s="19">
        <f t="shared" si="4"/>
        <v>7.2999999999999996E-4</v>
      </c>
      <c r="F74">
        <f>wyniki!$A$91</f>
        <v>0</v>
      </c>
      <c r="J74" s="93">
        <f t="shared" si="5"/>
        <v>0</v>
      </c>
      <c r="K74" s="77">
        <f>LARGE($E$2:$E$241,73)</f>
        <v>1.6800000000000001E-3</v>
      </c>
      <c r="L74" s="69">
        <f t="shared" si="6"/>
        <v>168</v>
      </c>
      <c r="M74" s="85">
        <f t="shared" si="7"/>
        <v>0</v>
      </c>
      <c r="N74" s="39">
        <v>73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2:29" ht="17.25" thickTop="1" thickBot="1">
      <c r="B75">
        <f>wyniki!B93</f>
        <v>0</v>
      </c>
      <c r="C75" s="19">
        <f>wyniki!G93</f>
        <v>0</v>
      </c>
      <c r="D75" s="18">
        <v>7.3999999999999999E-4</v>
      </c>
      <c r="E75" s="19">
        <f t="shared" si="4"/>
        <v>7.3999999999999999E-4</v>
      </c>
      <c r="F75">
        <f>wyniki!$A$91</f>
        <v>0</v>
      </c>
      <c r="J75" s="93">
        <f t="shared" si="5"/>
        <v>0</v>
      </c>
      <c r="K75" s="77">
        <f>LARGE($E$2:$E$241,74)</f>
        <v>1.67E-3</v>
      </c>
      <c r="L75" s="69">
        <f t="shared" si="6"/>
        <v>167</v>
      </c>
      <c r="M75" s="85">
        <f t="shared" si="7"/>
        <v>0</v>
      </c>
      <c r="N75" s="39">
        <v>74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2:29" ht="17.25" thickTop="1" thickBot="1">
      <c r="B76">
        <f>wyniki!B94</f>
        <v>0</v>
      </c>
      <c r="C76" s="19">
        <f>wyniki!G94</f>
        <v>0</v>
      </c>
      <c r="D76" s="18">
        <v>7.5000000000000002E-4</v>
      </c>
      <c r="E76" s="19">
        <f t="shared" si="4"/>
        <v>7.5000000000000002E-4</v>
      </c>
      <c r="F76">
        <f>wyniki!$A$91</f>
        <v>0</v>
      </c>
      <c r="J76" s="93">
        <f t="shared" si="5"/>
        <v>0</v>
      </c>
      <c r="K76" s="77">
        <f>LARGE($E$2:$E$241,75)</f>
        <v>1.66E-3</v>
      </c>
      <c r="L76" s="69">
        <f t="shared" si="6"/>
        <v>166</v>
      </c>
      <c r="M76" s="85">
        <f t="shared" si="7"/>
        <v>0</v>
      </c>
      <c r="N76" s="39">
        <v>75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2:29" ht="17.25" thickTop="1" thickBot="1">
      <c r="B77">
        <f>wyniki!B95</f>
        <v>0</v>
      </c>
      <c r="C77" s="19">
        <f>wyniki!G95</f>
        <v>0</v>
      </c>
      <c r="D77" s="18">
        <v>7.6000000000000004E-4</v>
      </c>
      <c r="E77" s="19">
        <f t="shared" si="4"/>
        <v>7.6000000000000004E-4</v>
      </c>
      <c r="F77">
        <f>wyniki!$A$91</f>
        <v>0</v>
      </c>
      <c r="J77" s="93">
        <f t="shared" si="5"/>
        <v>0</v>
      </c>
      <c r="K77" s="77">
        <f>LARGE($E$2:$E$241,76)</f>
        <v>1.65E-3</v>
      </c>
      <c r="L77" s="69">
        <f t="shared" si="6"/>
        <v>165</v>
      </c>
      <c r="M77" s="85">
        <f t="shared" si="7"/>
        <v>0</v>
      </c>
      <c r="N77" s="39">
        <v>76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2:29" ht="17.25" thickTop="1" thickBot="1">
      <c r="B78">
        <f>wyniki!B96</f>
        <v>0</v>
      </c>
      <c r="C78" s="19">
        <f>wyniki!G96</f>
        <v>0</v>
      </c>
      <c r="D78" s="18">
        <v>7.6999999999999996E-4</v>
      </c>
      <c r="E78" s="19">
        <f t="shared" si="4"/>
        <v>7.6999999999999996E-4</v>
      </c>
      <c r="F78">
        <f>wyniki!$A$91</f>
        <v>0</v>
      </c>
      <c r="J78" s="93">
        <f t="shared" si="5"/>
        <v>0</v>
      </c>
      <c r="K78" s="77">
        <f>LARGE($E$2:$E$241,77)</f>
        <v>1.64E-3</v>
      </c>
      <c r="L78" s="69">
        <f t="shared" si="6"/>
        <v>164</v>
      </c>
      <c r="M78" s="85">
        <f t="shared" si="7"/>
        <v>0</v>
      </c>
      <c r="N78" s="39">
        <v>77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2:29" ht="17.25" thickTop="1" thickBot="1">
      <c r="B79">
        <f>wyniki!B97</f>
        <v>0</v>
      </c>
      <c r="C79" s="19">
        <f>wyniki!G97</f>
        <v>0</v>
      </c>
      <c r="D79" s="18">
        <v>7.7999999999999999E-4</v>
      </c>
      <c r="E79" s="19">
        <f t="shared" si="4"/>
        <v>7.7999999999999999E-4</v>
      </c>
      <c r="F79">
        <f>wyniki!$A$91</f>
        <v>0</v>
      </c>
      <c r="J79" s="93">
        <f t="shared" si="5"/>
        <v>0</v>
      </c>
      <c r="K79" s="77">
        <f>LARGE($E$2:$E$241,78)</f>
        <v>1.6299999999999999E-3</v>
      </c>
      <c r="L79" s="69">
        <f t="shared" si="6"/>
        <v>163</v>
      </c>
      <c r="M79" s="85">
        <f t="shared" si="7"/>
        <v>0</v>
      </c>
      <c r="N79" s="39">
        <v>78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2:29" ht="17.25" thickTop="1" thickBot="1">
      <c r="B80">
        <f>wyniki!B99</f>
        <v>0</v>
      </c>
      <c r="C80" s="19">
        <f>wyniki!G99</f>
        <v>0</v>
      </c>
      <c r="D80" s="18">
        <v>7.9000000000000001E-4</v>
      </c>
      <c r="E80" s="19">
        <f t="shared" si="4"/>
        <v>7.9000000000000001E-4</v>
      </c>
      <c r="F80">
        <f>wyniki!$A$98</f>
        <v>0</v>
      </c>
      <c r="J80" s="93">
        <f t="shared" si="5"/>
        <v>0</v>
      </c>
      <c r="K80" s="77">
        <f>LARGE($E$2:$E$241,79)</f>
        <v>1.6199999999999999E-3</v>
      </c>
      <c r="L80" s="69">
        <f t="shared" si="6"/>
        <v>162</v>
      </c>
      <c r="M80" s="85">
        <f t="shared" si="7"/>
        <v>0</v>
      </c>
      <c r="N80" s="39">
        <v>79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2:29" ht="17.25" thickTop="1" thickBot="1">
      <c r="B81">
        <f>wyniki!B100</f>
        <v>0</v>
      </c>
      <c r="C81" s="19">
        <f>wyniki!G100</f>
        <v>0</v>
      </c>
      <c r="D81" s="18">
        <v>8.0000000000000004E-4</v>
      </c>
      <c r="E81" s="19">
        <f t="shared" si="4"/>
        <v>8.0000000000000004E-4</v>
      </c>
      <c r="F81">
        <f>wyniki!$A$98</f>
        <v>0</v>
      </c>
      <c r="J81" s="93">
        <f t="shared" si="5"/>
        <v>0</v>
      </c>
      <c r="K81" s="77">
        <f>LARGE($E$2:$E$241,80)</f>
        <v>1.6100000000000001E-3</v>
      </c>
      <c r="L81" s="69">
        <f t="shared" si="6"/>
        <v>161</v>
      </c>
      <c r="M81" s="85">
        <f t="shared" si="7"/>
        <v>0</v>
      </c>
      <c r="N81" s="39">
        <v>80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2:29" ht="17.25" thickTop="1" thickBot="1">
      <c r="B82">
        <f>wyniki!B101</f>
        <v>0</v>
      </c>
      <c r="C82" s="19">
        <f>wyniki!G101</f>
        <v>0</v>
      </c>
      <c r="D82" s="18">
        <v>8.0999999999999996E-4</v>
      </c>
      <c r="E82" s="19">
        <f t="shared" si="4"/>
        <v>8.0999999999999996E-4</v>
      </c>
      <c r="F82">
        <f>wyniki!$A$98</f>
        <v>0</v>
      </c>
      <c r="J82" s="93">
        <f t="shared" si="5"/>
        <v>0</v>
      </c>
      <c r="K82" s="77">
        <f>LARGE($E$2:$E$241,81)</f>
        <v>1.6000000000000001E-3</v>
      </c>
      <c r="L82" s="69">
        <f t="shared" si="6"/>
        <v>160</v>
      </c>
      <c r="M82" s="85">
        <f t="shared" si="7"/>
        <v>0</v>
      </c>
      <c r="N82" s="39">
        <v>81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2:29" ht="17.25" thickTop="1" thickBot="1">
      <c r="B83">
        <f>wyniki!B102</f>
        <v>0</v>
      </c>
      <c r="C83" s="19">
        <f>wyniki!G102</f>
        <v>0</v>
      </c>
      <c r="D83" s="18">
        <v>8.1999999999999998E-4</v>
      </c>
      <c r="E83" s="19">
        <f t="shared" si="4"/>
        <v>8.1999999999999998E-4</v>
      </c>
      <c r="F83">
        <f>wyniki!$A$98</f>
        <v>0</v>
      </c>
      <c r="J83" s="93">
        <f t="shared" si="5"/>
        <v>0</v>
      </c>
      <c r="K83" s="77">
        <f>LARGE($E$2:$E$241,82)</f>
        <v>1.5900000000000001E-3</v>
      </c>
      <c r="L83" s="69">
        <f t="shared" si="6"/>
        <v>159</v>
      </c>
      <c r="M83" s="85">
        <f t="shared" si="7"/>
        <v>0</v>
      </c>
      <c r="N83" s="39">
        <v>82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2:29" ht="17.25" thickTop="1" thickBot="1">
      <c r="B84">
        <f>wyniki!B103</f>
        <v>0</v>
      </c>
      <c r="C84" s="19">
        <f>wyniki!G103</f>
        <v>0</v>
      </c>
      <c r="D84" s="18">
        <v>8.3000000000000001E-4</v>
      </c>
      <c r="E84" s="19">
        <f t="shared" si="4"/>
        <v>8.3000000000000001E-4</v>
      </c>
      <c r="F84">
        <f>wyniki!$A$98</f>
        <v>0</v>
      </c>
      <c r="J84" s="93">
        <f t="shared" si="5"/>
        <v>0</v>
      </c>
      <c r="K84" s="77">
        <f>LARGE($E$2:$E$241,83)</f>
        <v>1.58E-3</v>
      </c>
      <c r="L84" s="69">
        <f t="shared" si="6"/>
        <v>158</v>
      </c>
      <c r="M84" s="85">
        <f t="shared" si="7"/>
        <v>0</v>
      </c>
      <c r="N84" s="39">
        <v>83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2:29" ht="17.25" thickTop="1" thickBot="1">
      <c r="B85">
        <f>wyniki!B104</f>
        <v>0</v>
      </c>
      <c r="C85" s="19">
        <f>wyniki!G104</f>
        <v>0</v>
      </c>
      <c r="D85" s="18">
        <v>8.4000000000000003E-4</v>
      </c>
      <c r="E85" s="19">
        <f t="shared" si="4"/>
        <v>8.4000000000000003E-4</v>
      </c>
      <c r="F85">
        <f>wyniki!$A$98</f>
        <v>0</v>
      </c>
      <c r="J85" s="93">
        <f t="shared" si="5"/>
        <v>0</v>
      </c>
      <c r="K85" s="77">
        <f>LARGE($E$2:$E$241,84)</f>
        <v>1.57E-3</v>
      </c>
      <c r="L85" s="69">
        <f t="shared" si="6"/>
        <v>157</v>
      </c>
      <c r="M85" s="85">
        <f t="shared" si="7"/>
        <v>0</v>
      </c>
      <c r="N85" s="39">
        <v>84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2:29" ht="17.25" thickTop="1" thickBot="1">
      <c r="B86">
        <f>wyniki!B106</f>
        <v>0</v>
      </c>
      <c r="C86" s="19">
        <f>wyniki!G106</f>
        <v>0</v>
      </c>
      <c r="D86" s="18">
        <v>8.4999999999999995E-4</v>
      </c>
      <c r="E86" s="19">
        <f t="shared" si="4"/>
        <v>8.4999999999999995E-4</v>
      </c>
      <c r="F86">
        <f>wyniki!$A$105</f>
        <v>0</v>
      </c>
      <c r="J86" s="93">
        <f t="shared" si="5"/>
        <v>0</v>
      </c>
      <c r="K86" s="77">
        <f>LARGE($E$2:$E$241,85)</f>
        <v>1.56E-3</v>
      </c>
      <c r="L86" s="69">
        <f t="shared" si="6"/>
        <v>156</v>
      </c>
      <c r="M86" s="85">
        <f t="shared" si="7"/>
        <v>0</v>
      </c>
      <c r="N86" s="39">
        <v>85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2:29" ht="17.25" thickTop="1" thickBot="1">
      <c r="B87">
        <f>wyniki!B107</f>
        <v>0</v>
      </c>
      <c r="C87" s="19">
        <f>wyniki!G107</f>
        <v>0</v>
      </c>
      <c r="D87" s="18">
        <v>8.5999999999999998E-4</v>
      </c>
      <c r="E87" s="19">
        <f t="shared" si="4"/>
        <v>8.5999999999999998E-4</v>
      </c>
      <c r="F87">
        <f>wyniki!$A$105</f>
        <v>0</v>
      </c>
      <c r="J87" s="93">
        <f t="shared" si="5"/>
        <v>0</v>
      </c>
      <c r="K87" s="77">
        <f>LARGE($E$2:$E$241,86)</f>
        <v>1.5499999999999999E-3</v>
      </c>
      <c r="L87" s="69">
        <f t="shared" si="6"/>
        <v>155</v>
      </c>
      <c r="M87" s="85">
        <f t="shared" si="7"/>
        <v>0</v>
      </c>
      <c r="N87" s="39">
        <v>86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2:29" ht="17.25" thickTop="1" thickBot="1">
      <c r="B88">
        <f>wyniki!B108</f>
        <v>0</v>
      </c>
      <c r="C88" s="19">
        <f>wyniki!G108</f>
        <v>0</v>
      </c>
      <c r="D88" s="18">
        <v>8.7000000000000001E-4</v>
      </c>
      <c r="E88" s="19">
        <f t="shared" si="4"/>
        <v>8.7000000000000001E-4</v>
      </c>
      <c r="F88">
        <f>wyniki!$A$105</f>
        <v>0</v>
      </c>
      <c r="J88" s="93">
        <f t="shared" si="5"/>
        <v>0</v>
      </c>
      <c r="K88" s="77">
        <f>LARGE($E$2:$E$241,87)</f>
        <v>1.5399999999999999E-3</v>
      </c>
      <c r="L88" s="69">
        <f t="shared" si="6"/>
        <v>154</v>
      </c>
      <c r="M88" s="85">
        <f t="shared" si="7"/>
        <v>0</v>
      </c>
      <c r="N88" s="39">
        <v>87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2:29" ht="17.25" thickTop="1" thickBot="1">
      <c r="B89">
        <f>wyniki!B109</f>
        <v>0</v>
      </c>
      <c r="C89" s="19">
        <f>wyniki!G109</f>
        <v>0</v>
      </c>
      <c r="D89" s="18">
        <v>8.8000000000000003E-4</v>
      </c>
      <c r="E89" s="19">
        <f t="shared" si="4"/>
        <v>8.8000000000000003E-4</v>
      </c>
      <c r="F89">
        <f>wyniki!$A$105</f>
        <v>0</v>
      </c>
      <c r="J89" s="93">
        <f t="shared" si="5"/>
        <v>0</v>
      </c>
      <c r="K89" s="77">
        <f>LARGE($E$2:$E$241,88)</f>
        <v>1.5299999999999999E-3</v>
      </c>
      <c r="L89" s="69">
        <f t="shared" si="6"/>
        <v>153</v>
      </c>
      <c r="M89" s="85">
        <f t="shared" si="7"/>
        <v>0</v>
      </c>
      <c r="N89" s="39">
        <v>88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2:29" ht="17.25" thickTop="1" thickBot="1">
      <c r="B90">
        <f>wyniki!B110</f>
        <v>0</v>
      </c>
      <c r="C90" s="19">
        <f>wyniki!G110</f>
        <v>0</v>
      </c>
      <c r="D90" s="18">
        <v>8.8999999999999995E-4</v>
      </c>
      <c r="E90" s="19">
        <f t="shared" si="4"/>
        <v>8.8999999999999995E-4</v>
      </c>
      <c r="F90">
        <f>wyniki!$A$105</f>
        <v>0</v>
      </c>
      <c r="J90" s="93">
        <f t="shared" si="5"/>
        <v>0</v>
      </c>
      <c r="K90" s="77">
        <f>LARGE($E$2:$E$241,89)</f>
        <v>1.5200000000000001E-3</v>
      </c>
      <c r="L90" s="69">
        <f t="shared" si="6"/>
        <v>152</v>
      </c>
      <c r="M90" s="85">
        <f t="shared" si="7"/>
        <v>0</v>
      </c>
      <c r="N90" s="39">
        <v>89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2:29" ht="17.25" thickTop="1" thickBot="1">
      <c r="B91">
        <f>wyniki!B111</f>
        <v>0</v>
      </c>
      <c r="C91" s="19">
        <f>wyniki!G111</f>
        <v>0</v>
      </c>
      <c r="D91" s="18">
        <v>8.9999999999999998E-4</v>
      </c>
      <c r="E91" s="19">
        <f t="shared" si="4"/>
        <v>8.9999999999999998E-4</v>
      </c>
      <c r="F91">
        <f>wyniki!$A$105</f>
        <v>0</v>
      </c>
      <c r="J91" s="93">
        <f t="shared" si="5"/>
        <v>0</v>
      </c>
      <c r="K91" s="77">
        <f>LARGE($E$2:$E$241,90)</f>
        <v>1.5100000000000001E-3</v>
      </c>
      <c r="L91" s="69">
        <f t="shared" si="6"/>
        <v>151</v>
      </c>
      <c r="M91" s="85">
        <f t="shared" si="7"/>
        <v>0</v>
      </c>
      <c r="N91" s="39">
        <v>90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2:29" ht="17.25" thickTop="1" thickBot="1">
      <c r="B92">
        <f>wyniki!B113</f>
        <v>0</v>
      </c>
      <c r="C92" s="19">
        <f>wyniki!G113</f>
        <v>0</v>
      </c>
      <c r="D92" s="18">
        <v>9.1E-4</v>
      </c>
      <c r="E92" s="19">
        <f t="shared" si="4"/>
        <v>9.1E-4</v>
      </c>
      <c r="F92">
        <f>wyniki!$A$112</f>
        <v>0</v>
      </c>
      <c r="J92" s="93">
        <f t="shared" si="5"/>
        <v>0</v>
      </c>
      <c r="K92" s="77">
        <f>LARGE($E$2:$E$241,91)</f>
        <v>1.5E-3</v>
      </c>
      <c r="L92" s="69">
        <f t="shared" si="6"/>
        <v>150</v>
      </c>
      <c r="M92" s="85">
        <f t="shared" si="7"/>
        <v>0</v>
      </c>
      <c r="N92" s="39">
        <v>91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2:29" ht="17.25" thickTop="1" thickBot="1">
      <c r="B93">
        <f>wyniki!B114</f>
        <v>0</v>
      </c>
      <c r="C93" s="19">
        <f>wyniki!G114</f>
        <v>0</v>
      </c>
      <c r="D93" s="18">
        <v>9.2000000000000003E-4</v>
      </c>
      <c r="E93" s="19">
        <f t="shared" si="4"/>
        <v>9.2000000000000003E-4</v>
      </c>
      <c r="F93">
        <f>wyniki!$A$112</f>
        <v>0</v>
      </c>
      <c r="J93" s="93">
        <f t="shared" si="5"/>
        <v>0</v>
      </c>
      <c r="K93" s="77">
        <f>LARGE($E$2:$E$241,92)</f>
        <v>1.49E-3</v>
      </c>
      <c r="L93" s="69">
        <f t="shared" si="6"/>
        <v>149</v>
      </c>
      <c r="M93" s="85">
        <f t="shared" si="7"/>
        <v>0</v>
      </c>
      <c r="N93" s="39">
        <v>92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2:29" ht="17.25" thickTop="1" thickBot="1">
      <c r="B94">
        <f>wyniki!B115</f>
        <v>0</v>
      </c>
      <c r="C94" s="19">
        <f>wyniki!G115</f>
        <v>0</v>
      </c>
      <c r="D94" s="18">
        <v>9.3000000000000005E-4</v>
      </c>
      <c r="E94" s="19">
        <f t="shared" si="4"/>
        <v>9.3000000000000005E-4</v>
      </c>
      <c r="F94">
        <f>wyniki!$A$112</f>
        <v>0</v>
      </c>
      <c r="J94" s="93">
        <f t="shared" si="5"/>
        <v>0</v>
      </c>
      <c r="K94" s="77">
        <f>LARGE($E$2:$E$241,93)</f>
        <v>1.48E-3</v>
      </c>
      <c r="L94" s="69">
        <f t="shared" si="6"/>
        <v>148</v>
      </c>
      <c r="M94" s="85">
        <f t="shared" si="7"/>
        <v>0</v>
      </c>
      <c r="N94" s="39">
        <v>93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2:29" ht="17.25" thickTop="1" thickBot="1">
      <c r="B95">
        <f>wyniki!B116</f>
        <v>0</v>
      </c>
      <c r="C95" s="19">
        <f>wyniki!G116</f>
        <v>0</v>
      </c>
      <c r="D95" s="18">
        <v>9.3999999999999997E-4</v>
      </c>
      <c r="E95" s="19">
        <f t="shared" si="4"/>
        <v>9.3999999999999997E-4</v>
      </c>
      <c r="F95">
        <f>wyniki!$A$112</f>
        <v>0</v>
      </c>
      <c r="J95" s="93">
        <f t="shared" si="5"/>
        <v>0</v>
      </c>
      <c r="K95" s="77">
        <f>LARGE($E$2:$E$241,94)</f>
        <v>1.47E-3</v>
      </c>
      <c r="L95" s="69">
        <f t="shared" si="6"/>
        <v>147</v>
      </c>
      <c r="M95" s="85">
        <f t="shared" si="7"/>
        <v>0</v>
      </c>
      <c r="N95" s="39">
        <v>94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2:29" ht="17.25" thickTop="1" thickBot="1">
      <c r="B96">
        <f>wyniki!B117</f>
        <v>0</v>
      </c>
      <c r="C96" s="19">
        <f>wyniki!G117</f>
        <v>0</v>
      </c>
      <c r="D96" s="18">
        <v>9.5E-4</v>
      </c>
      <c r="E96" s="19">
        <f t="shared" si="4"/>
        <v>9.5E-4</v>
      </c>
      <c r="F96">
        <f>wyniki!$A$112</f>
        <v>0</v>
      </c>
      <c r="J96" s="93">
        <f t="shared" si="5"/>
        <v>0</v>
      </c>
      <c r="K96" s="77">
        <f>LARGE($E$2:$E$241,95)</f>
        <v>1.4599999999999999E-3</v>
      </c>
      <c r="L96" s="69">
        <f t="shared" si="6"/>
        <v>146</v>
      </c>
      <c r="M96" s="85">
        <f t="shared" si="7"/>
        <v>0</v>
      </c>
      <c r="N96" s="39">
        <v>95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2:29" ht="17.25" thickTop="1" thickBot="1">
      <c r="B97">
        <f>wyniki!B118</f>
        <v>0</v>
      </c>
      <c r="C97" s="19">
        <f>wyniki!G118</f>
        <v>0</v>
      </c>
      <c r="D97" s="18">
        <v>9.6000000000000002E-4</v>
      </c>
      <c r="E97" s="19">
        <f t="shared" si="4"/>
        <v>9.6000000000000002E-4</v>
      </c>
      <c r="F97">
        <f>wyniki!$A$112</f>
        <v>0</v>
      </c>
      <c r="J97" s="93">
        <f t="shared" si="5"/>
        <v>0</v>
      </c>
      <c r="K97" s="77">
        <f>LARGE($E$2:$E$241,96)</f>
        <v>1.4499999999999999E-3</v>
      </c>
      <c r="L97" s="69">
        <f t="shared" si="6"/>
        <v>145</v>
      </c>
      <c r="M97" s="85">
        <f t="shared" si="7"/>
        <v>0</v>
      </c>
      <c r="N97" s="39">
        <v>96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2:29" ht="17.25" thickTop="1" thickBot="1">
      <c r="B98">
        <f>wyniki!B120</f>
        <v>0</v>
      </c>
      <c r="C98" s="19">
        <f>wyniki!G120</f>
        <v>0</v>
      </c>
      <c r="D98" s="18">
        <v>9.7000000000000005E-4</v>
      </c>
      <c r="E98" s="19">
        <f t="shared" si="4"/>
        <v>9.7000000000000005E-4</v>
      </c>
      <c r="F98">
        <f>wyniki!$A$119</f>
        <v>0</v>
      </c>
      <c r="J98" s="93">
        <f t="shared" si="5"/>
        <v>0</v>
      </c>
      <c r="K98" s="77">
        <f>LARGE($E$2:$E$241,97)</f>
        <v>1.4400000000000001E-3</v>
      </c>
      <c r="L98" s="69">
        <f t="shared" si="6"/>
        <v>144</v>
      </c>
      <c r="M98" s="85">
        <f t="shared" si="7"/>
        <v>0</v>
      </c>
      <c r="N98" s="39">
        <v>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2:29" ht="17.25" thickTop="1" thickBot="1">
      <c r="B99">
        <f>wyniki!B121</f>
        <v>0</v>
      </c>
      <c r="C99" s="19">
        <f>wyniki!G121</f>
        <v>0</v>
      </c>
      <c r="D99" s="18">
        <v>9.7999999999999997E-4</v>
      </c>
      <c r="E99" s="19">
        <f t="shared" si="4"/>
        <v>9.7999999999999997E-4</v>
      </c>
      <c r="F99">
        <f>wyniki!$A$119</f>
        <v>0</v>
      </c>
      <c r="J99" s="93">
        <f t="shared" si="5"/>
        <v>0</v>
      </c>
      <c r="K99" s="77">
        <f>LARGE($E$2:$E$241,98)</f>
        <v>1.4300000000000001E-3</v>
      </c>
      <c r="L99" s="69">
        <f t="shared" si="6"/>
        <v>143</v>
      </c>
      <c r="M99" s="85">
        <f t="shared" si="7"/>
        <v>0</v>
      </c>
      <c r="N99" s="39">
        <v>98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2:29" ht="17.25" thickTop="1" thickBot="1">
      <c r="B100">
        <f>wyniki!B122</f>
        <v>0</v>
      </c>
      <c r="C100" s="19">
        <f>wyniki!G122</f>
        <v>0</v>
      </c>
      <c r="D100" s="18">
        <v>9.8999999999999999E-4</v>
      </c>
      <c r="E100" s="19">
        <f t="shared" si="4"/>
        <v>9.8999999999999999E-4</v>
      </c>
      <c r="F100">
        <f>wyniki!$A$119</f>
        <v>0</v>
      </c>
      <c r="J100" s="93">
        <f t="shared" si="5"/>
        <v>0</v>
      </c>
      <c r="K100" s="77">
        <f>LARGE($E$2:$E$241,99)</f>
        <v>1.42E-3</v>
      </c>
      <c r="L100" s="69">
        <f t="shared" si="6"/>
        <v>142</v>
      </c>
      <c r="M100" s="85">
        <f t="shared" si="7"/>
        <v>0</v>
      </c>
      <c r="N100" s="39">
        <v>99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2:29" ht="17.25" thickTop="1" thickBot="1">
      <c r="B101">
        <f>wyniki!B123</f>
        <v>0</v>
      </c>
      <c r="C101" s="19">
        <f>wyniki!G123</f>
        <v>0</v>
      </c>
      <c r="D101" s="18">
        <v>1E-3</v>
      </c>
      <c r="E101" s="19">
        <f t="shared" si="4"/>
        <v>1E-3</v>
      </c>
      <c r="F101">
        <f>wyniki!$A$119</f>
        <v>0</v>
      </c>
      <c r="J101" s="93">
        <f t="shared" si="5"/>
        <v>0</v>
      </c>
      <c r="K101" s="77">
        <f>LARGE($E$2:$E$241,100)</f>
        <v>1.41E-3</v>
      </c>
      <c r="L101" s="69">
        <f t="shared" si="6"/>
        <v>141</v>
      </c>
      <c r="M101" s="85">
        <f t="shared" si="7"/>
        <v>0</v>
      </c>
      <c r="N101" s="39">
        <v>100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2:29" ht="17.25" thickTop="1" thickBot="1">
      <c r="B102">
        <f>wyniki!B124</f>
        <v>0</v>
      </c>
      <c r="C102" s="19">
        <f>wyniki!G124</f>
        <v>0</v>
      </c>
      <c r="D102" s="18">
        <v>1.01E-3</v>
      </c>
      <c r="E102" s="19">
        <f t="shared" si="4"/>
        <v>1.01E-3</v>
      </c>
      <c r="F102">
        <f>wyniki!$A$119</f>
        <v>0</v>
      </c>
      <c r="J102" s="93">
        <f t="shared" si="5"/>
        <v>0</v>
      </c>
      <c r="K102" s="77">
        <f>LARGE($E$2:$E$241,101)</f>
        <v>1.4E-3</v>
      </c>
      <c r="L102" s="69">
        <f t="shared" si="6"/>
        <v>140</v>
      </c>
      <c r="M102" s="85">
        <f t="shared" si="7"/>
        <v>0</v>
      </c>
      <c r="N102" s="39">
        <v>101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2:29" ht="17.25" thickTop="1" thickBot="1">
      <c r="B103">
        <f>wyniki!B125</f>
        <v>0</v>
      </c>
      <c r="C103" s="19">
        <f>wyniki!G125</f>
        <v>0</v>
      </c>
      <c r="D103" s="18">
        <v>1.0200000000000001E-3</v>
      </c>
      <c r="E103" s="19">
        <f t="shared" si="4"/>
        <v>1.0200000000000001E-3</v>
      </c>
      <c r="F103">
        <f>wyniki!$A$119</f>
        <v>0</v>
      </c>
      <c r="J103" s="93">
        <f t="shared" si="5"/>
        <v>0</v>
      </c>
      <c r="K103" s="77">
        <f>LARGE($E$2:$E$241,102)</f>
        <v>1.39E-3</v>
      </c>
      <c r="L103" s="69">
        <f t="shared" si="6"/>
        <v>139</v>
      </c>
      <c r="M103" s="85">
        <f t="shared" si="7"/>
        <v>0</v>
      </c>
      <c r="N103" s="39">
        <v>102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2:29" ht="17.25" thickTop="1" thickBot="1">
      <c r="B104">
        <f>wyniki!B127</f>
        <v>0</v>
      </c>
      <c r="C104" s="19">
        <f>wyniki!G127</f>
        <v>0</v>
      </c>
      <c r="D104" s="18">
        <v>1.0300000000000001E-3</v>
      </c>
      <c r="E104" s="19">
        <f t="shared" si="4"/>
        <v>1.0300000000000001E-3</v>
      </c>
      <c r="F104">
        <f>wyniki!$A$126</f>
        <v>0</v>
      </c>
      <c r="J104" s="93">
        <f t="shared" si="5"/>
        <v>0</v>
      </c>
      <c r="K104" s="77">
        <f>LARGE($E$2:$E$241,103)</f>
        <v>1.3799999999999999E-3</v>
      </c>
      <c r="L104" s="69">
        <f t="shared" si="6"/>
        <v>138</v>
      </c>
      <c r="M104" s="85">
        <f t="shared" si="7"/>
        <v>0</v>
      </c>
      <c r="N104" s="39">
        <v>103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2:29" ht="17.25" thickTop="1" thickBot="1">
      <c r="B105">
        <f>wyniki!B128</f>
        <v>0</v>
      </c>
      <c r="C105" s="19">
        <f>wyniki!G128</f>
        <v>0</v>
      </c>
      <c r="D105" s="18">
        <v>1.0399999999999999E-3</v>
      </c>
      <c r="E105" s="19">
        <f t="shared" si="4"/>
        <v>1.0399999999999999E-3</v>
      </c>
      <c r="F105">
        <f>wyniki!$A$126</f>
        <v>0</v>
      </c>
      <c r="J105" s="93">
        <f t="shared" si="5"/>
        <v>0</v>
      </c>
      <c r="K105" s="77">
        <f>LARGE($E$2:$E$241,104)</f>
        <v>1.3699999999999999E-3</v>
      </c>
      <c r="L105" s="69">
        <f t="shared" si="6"/>
        <v>137</v>
      </c>
      <c r="M105" s="85">
        <f t="shared" si="7"/>
        <v>0</v>
      </c>
      <c r="N105" s="39">
        <v>104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2:29" ht="17.25" thickTop="1" thickBot="1">
      <c r="B106">
        <f>wyniki!B129</f>
        <v>0</v>
      </c>
      <c r="C106" s="19">
        <f>wyniki!G129</f>
        <v>0</v>
      </c>
      <c r="D106" s="18">
        <v>1.0499999999999999E-3</v>
      </c>
      <c r="E106" s="19">
        <f t="shared" si="4"/>
        <v>1.0499999999999999E-3</v>
      </c>
      <c r="F106">
        <f>wyniki!$A$126</f>
        <v>0</v>
      </c>
      <c r="J106" s="93">
        <f t="shared" si="5"/>
        <v>0</v>
      </c>
      <c r="K106" s="77">
        <f>LARGE($E$2:$E$241,105)</f>
        <v>1.3600000000000001E-3</v>
      </c>
      <c r="L106" s="69">
        <f t="shared" si="6"/>
        <v>136</v>
      </c>
      <c r="M106" s="85">
        <f t="shared" si="7"/>
        <v>0</v>
      </c>
      <c r="N106" s="39">
        <v>105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2:29" ht="17.25" thickTop="1" thickBot="1">
      <c r="B107">
        <f>wyniki!B130</f>
        <v>0</v>
      </c>
      <c r="C107" s="19">
        <f>wyniki!G130</f>
        <v>0</v>
      </c>
      <c r="D107" s="18">
        <v>1.06E-3</v>
      </c>
      <c r="E107" s="19">
        <f t="shared" si="4"/>
        <v>1.06E-3</v>
      </c>
      <c r="F107">
        <f>wyniki!$A$126</f>
        <v>0</v>
      </c>
      <c r="J107" s="93">
        <f t="shared" si="5"/>
        <v>0</v>
      </c>
      <c r="K107" s="77">
        <f>LARGE($E$2:$E$241,106)</f>
        <v>1.3500000000000001E-3</v>
      </c>
      <c r="L107" s="69">
        <f t="shared" si="6"/>
        <v>135</v>
      </c>
      <c r="M107" s="85">
        <f t="shared" si="7"/>
        <v>0</v>
      </c>
      <c r="N107" s="39">
        <v>106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2:29" ht="17.25" thickTop="1" thickBot="1">
      <c r="B108">
        <f>wyniki!B131</f>
        <v>0</v>
      </c>
      <c r="C108" s="19">
        <f>wyniki!G131</f>
        <v>0</v>
      </c>
      <c r="D108" s="18">
        <v>1.07E-3</v>
      </c>
      <c r="E108" s="19">
        <f t="shared" si="4"/>
        <v>1.07E-3</v>
      </c>
      <c r="F108">
        <f>wyniki!$A$126</f>
        <v>0</v>
      </c>
      <c r="J108" s="93">
        <f t="shared" si="5"/>
        <v>0</v>
      </c>
      <c r="K108" s="77">
        <f>LARGE($E$2:$E$241,107)</f>
        <v>1.34E-3</v>
      </c>
      <c r="L108" s="69">
        <f t="shared" si="6"/>
        <v>134</v>
      </c>
      <c r="M108" s="85">
        <f t="shared" si="7"/>
        <v>0</v>
      </c>
      <c r="N108" s="39">
        <v>107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2:29" ht="17.25" thickTop="1" thickBot="1">
      <c r="B109">
        <f>wyniki!B132</f>
        <v>0</v>
      </c>
      <c r="C109" s="19">
        <f>wyniki!G132</f>
        <v>0</v>
      </c>
      <c r="D109" s="18">
        <v>1.08E-3</v>
      </c>
      <c r="E109" s="19">
        <f t="shared" si="4"/>
        <v>1.08E-3</v>
      </c>
      <c r="F109">
        <f>wyniki!$A$126</f>
        <v>0</v>
      </c>
      <c r="J109" s="93">
        <f t="shared" si="5"/>
        <v>0</v>
      </c>
      <c r="K109" s="77">
        <f>LARGE($E$2:$E$241,108)</f>
        <v>1.33E-3</v>
      </c>
      <c r="L109" s="69">
        <f t="shared" si="6"/>
        <v>133</v>
      </c>
      <c r="M109" s="85">
        <f t="shared" si="7"/>
        <v>0</v>
      </c>
      <c r="N109" s="39">
        <v>108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2:29" ht="17.25" thickTop="1" thickBot="1">
      <c r="B110">
        <f>wyniki!B134</f>
        <v>0</v>
      </c>
      <c r="C110" s="19">
        <f>wyniki!G134</f>
        <v>0</v>
      </c>
      <c r="D110" s="18">
        <v>1.09E-3</v>
      </c>
      <c r="E110" s="19">
        <f t="shared" si="4"/>
        <v>1.09E-3</v>
      </c>
      <c r="F110">
        <f>wyniki!$A$133</f>
        <v>0</v>
      </c>
      <c r="J110" s="93">
        <f t="shared" si="5"/>
        <v>0</v>
      </c>
      <c r="K110" s="77">
        <f>LARGE($E$2:$E$241,109)</f>
        <v>1.32E-3</v>
      </c>
      <c r="L110" s="69">
        <f t="shared" si="6"/>
        <v>132</v>
      </c>
      <c r="M110" s="85">
        <f t="shared" si="7"/>
        <v>0</v>
      </c>
      <c r="N110" s="39">
        <v>109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2:29" ht="17.25" thickTop="1" thickBot="1">
      <c r="B111">
        <f>wyniki!B135</f>
        <v>0</v>
      </c>
      <c r="C111" s="19">
        <f>wyniki!G135</f>
        <v>0</v>
      </c>
      <c r="D111" s="18">
        <v>1.1000000000000001E-3</v>
      </c>
      <c r="E111" s="19">
        <f t="shared" si="4"/>
        <v>1.1000000000000001E-3</v>
      </c>
      <c r="F111">
        <f>wyniki!$A$133</f>
        <v>0</v>
      </c>
      <c r="J111" s="93">
        <f t="shared" si="5"/>
        <v>0</v>
      </c>
      <c r="K111" s="77">
        <f>LARGE($E$2:$E$241,110)</f>
        <v>1.31E-3</v>
      </c>
      <c r="L111" s="69">
        <f t="shared" si="6"/>
        <v>131</v>
      </c>
      <c r="M111" s="85">
        <f t="shared" si="7"/>
        <v>0</v>
      </c>
      <c r="N111" s="39">
        <v>110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2:29" ht="17.25" thickTop="1" thickBot="1">
      <c r="B112">
        <f>wyniki!B136</f>
        <v>0</v>
      </c>
      <c r="C112" s="19">
        <f>wyniki!G136</f>
        <v>0</v>
      </c>
      <c r="D112" s="18">
        <v>1.1100000000000001E-3</v>
      </c>
      <c r="E112" s="19">
        <f t="shared" si="4"/>
        <v>1.1100000000000001E-3</v>
      </c>
      <c r="F112">
        <f>wyniki!$A$133</f>
        <v>0</v>
      </c>
      <c r="J112" s="93">
        <f t="shared" si="5"/>
        <v>0</v>
      </c>
      <c r="K112" s="77">
        <f>LARGE($E$2:$E$241,111)</f>
        <v>1.2999999999999999E-3</v>
      </c>
      <c r="L112" s="69">
        <f t="shared" si="6"/>
        <v>130</v>
      </c>
      <c r="M112" s="85">
        <f t="shared" si="7"/>
        <v>0</v>
      </c>
      <c r="N112" s="39">
        <v>111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2:29" ht="17.25" thickTop="1" thickBot="1">
      <c r="B113">
        <f>wyniki!B137</f>
        <v>0</v>
      </c>
      <c r="C113" s="19">
        <f>wyniki!G137</f>
        <v>0</v>
      </c>
      <c r="D113" s="18">
        <v>1.1199999999999999E-3</v>
      </c>
      <c r="E113" s="19">
        <f t="shared" si="4"/>
        <v>1.1199999999999999E-3</v>
      </c>
      <c r="F113">
        <f>wyniki!$A$133</f>
        <v>0</v>
      </c>
      <c r="J113" s="93">
        <f t="shared" si="5"/>
        <v>0</v>
      </c>
      <c r="K113" s="77">
        <f>LARGE($E$2:$E$241,112)</f>
        <v>1.2899999999999999E-3</v>
      </c>
      <c r="L113" s="69">
        <f t="shared" si="6"/>
        <v>129</v>
      </c>
      <c r="M113" s="85">
        <f t="shared" si="7"/>
        <v>0</v>
      </c>
      <c r="N113" s="39">
        <v>112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2:29" ht="17.25" thickTop="1" thickBot="1">
      <c r="B114">
        <f>wyniki!B138</f>
        <v>0</v>
      </c>
      <c r="C114" s="19">
        <f>wyniki!G138</f>
        <v>0</v>
      </c>
      <c r="D114" s="18">
        <v>1.1299999999999999E-3</v>
      </c>
      <c r="E114" s="19">
        <f t="shared" si="4"/>
        <v>1.1299999999999999E-3</v>
      </c>
      <c r="F114">
        <f>wyniki!$A$133</f>
        <v>0</v>
      </c>
      <c r="J114" s="93">
        <f t="shared" si="5"/>
        <v>0</v>
      </c>
      <c r="K114" s="77">
        <f>LARGE($E$2:$E$241,113)</f>
        <v>1.2800000000000001E-3</v>
      </c>
      <c r="L114" s="69">
        <f t="shared" si="6"/>
        <v>128</v>
      </c>
      <c r="M114" s="85">
        <f t="shared" si="7"/>
        <v>0</v>
      </c>
      <c r="N114" s="39">
        <v>113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2:29" ht="17.25" thickTop="1" thickBot="1">
      <c r="B115">
        <f>wyniki!B139</f>
        <v>0</v>
      </c>
      <c r="C115" s="19">
        <f>wyniki!G139</f>
        <v>0</v>
      </c>
      <c r="D115" s="18">
        <v>1.14E-3</v>
      </c>
      <c r="E115" s="19">
        <f t="shared" si="4"/>
        <v>1.14E-3</v>
      </c>
      <c r="F115">
        <f>wyniki!$A$133</f>
        <v>0</v>
      </c>
      <c r="J115" s="93">
        <f t="shared" si="5"/>
        <v>0</v>
      </c>
      <c r="K115" s="77">
        <f>LARGE($E$2:$E$241,114)</f>
        <v>1.2700000000000001E-3</v>
      </c>
      <c r="L115" s="69">
        <f t="shared" si="6"/>
        <v>127</v>
      </c>
      <c r="M115" s="85">
        <f t="shared" si="7"/>
        <v>0</v>
      </c>
      <c r="N115" s="39">
        <v>114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2:29" ht="17.25" thickTop="1" thickBot="1">
      <c r="B116">
        <f>wyniki!B141</f>
        <v>0</v>
      </c>
      <c r="C116" s="19">
        <f>wyniki!G141</f>
        <v>0</v>
      </c>
      <c r="D116" s="18">
        <v>1.15E-3</v>
      </c>
      <c r="E116" s="19">
        <f t="shared" si="4"/>
        <v>1.15E-3</v>
      </c>
      <c r="F116">
        <f>wyniki!$A$140</f>
        <v>0</v>
      </c>
      <c r="J116" s="93">
        <f t="shared" si="5"/>
        <v>0</v>
      </c>
      <c r="K116" s="77">
        <f>LARGE($E$2:$E$241,115)</f>
        <v>1.2600000000000001E-3</v>
      </c>
      <c r="L116" s="69">
        <f t="shared" si="6"/>
        <v>126</v>
      </c>
      <c r="M116" s="85">
        <f t="shared" si="7"/>
        <v>0</v>
      </c>
      <c r="N116" s="39">
        <v>115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2:29" ht="17.25" thickTop="1" thickBot="1">
      <c r="B117">
        <f>wyniki!B142</f>
        <v>0</v>
      </c>
      <c r="C117" s="19">
        <f>wyniki!G142</f>
        <v>0</v>
      </c>
      <c r="D117" s="18">
        <v>1.16E-3</v>
      </c>
      <c r="E117" s="19">
        <f t="shared" si="4"/>
        <v>1.16E-3</v>
      </c>
      <c r="F117">
        <f>wyniki!$A$140</f>
        <v>0</v>
      </c>
      <c r="J117" s="93">
        <f t="shared" si="5"/>
        <v>0</v>
      </c>
      <c r="K117" s="77">
        <f>LARGE($E$2:$E$241,116)</f>
        <v>1.25E-3</v>
      </c>
      <c r="L117" s="69">
        <f t="shared" si="6"/>
        <v>125</v>
      </c>
      <c r="M117" s="85">
        <f t="shared" si="7"/>
        <v>0</v>
      </c>
      <c r="N117" s="39">
        <v>116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2:29" ht="17.25" thickTop="1" thickBot="1">
      <c r="B118">
        <f>wyniki!B143</f>
        <v>0</v>
      </c>
      <c r="C118" s="19">
        <f>wyniki!G143</f>
        <v>0</v>
      </c>
      <c r="D118" s="18">
        <v>1.17E-3</v>
      </c>
      <c r="E118" s="19">
        <f t="shared" si="4"/>
        <v>1.17E-3</v>
      </c>
      <c r="F118">
        <f>wyniki!$A$140</f>
        <v>0</v>
      </c>
      <c r="J118" s="93">
        <f t="shared" si="5"/>
        <v>0</v>
      </c>
      <c r="K118" s="77">
        <f>LARGE($E$2:$E$241,117)</f>
        <v>1.24E-3</v>
      </c>
      <c r="L118" s="69">
        <f t="shared" si="6"/>
        <v>124</v>
      </c>
      <c r="M118" s="85">
        <f t="shared" si="7"/>
        <v>0</v>
      </c>
      <c r="N118" s="39">
        <v>117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2:29" ht="17.25" thickTop="1" thickBot="1">
      <c r="B119">
        <f>wyniki!B144</f>
        <v>0</v>
      </c>
      <c r="C119" s="19">
        <f>wyniki!G144</f>
        <v>0</v>
      </c>
      <c r="D119" s="18">
        <v>1.1800000000000001E-3</v>
      </c>
      <c r="E119" s="19">
        <f t="shared" si="4"/>
        <v>1.1800000000000001E-3</v>
      </c>
      <c r="F119">
        <f>wyniki!$A$140</f>
        <v>0</v>
      </c>
      <c r="J119" s="93">
        <f t="shared" si="5"/>
        <v>0</v>
      </c>
      <c r="K119" s="77">
        <f>LARGE($E$2:$E$241,118)</f>
        <v>1.23E-3</v>
      </c>
      <c r="L119" s="69">
        <f t="shared" si="6"/>
        <v>123</v>
      </c>
      <c r="M119" s="85">
        <f t="shared" si="7"/>
        <v>0</v>
      </c>
      <c r="N119" s="39">
        <v>118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2:29" ht="17.25" thickTop="1" thickBot="1">
      <c r="B120">
        <f>wyniki!B145</f>
        <v>0</v>
      </c>
      <c r="C120" s="19">
        <f>wyniki!G145</f>
        <v>0</v>
      </c>
      <c r="D120" s="18">
        <v>1.1900000000000001E-3</v>
      </c>
      <c r="E120" s="19">
        <f t="shared" si="4"/>
        <v>1.1900000000000001E-3</v>
      </c>
      <c r="F120">
        <f>wyniki!$A$140</f>
        <v>0</v>
      </c>
      <c r="J120" s="93">
        <f t="shared" si="5"/>
        <v>0</v>
      </c>
      <c r="K120" s="77">
        <f>LARGE($E$2:$E$241,119)</f>
        <v>1.2199999999999999E-3</v>
      </c>
      <c r="L120" s="69">
        <f t="shared" si="6"/>
        <v>122</v>
      </c>
      <c r="M120" s="85">
        <f t="shared" si="7"/>
        <v>0</v>
      </c>
      <c r="N120" s="39">
        <v>119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2:29" ht="17.25" thickTop="1" thickBot="1">
      <c r="B121">
        <f>wyniki!B146</f>
        <v>0</v>
      </c>
      <c r="C121" s="19">
        <f>wyniki!G146</f>
        <v>0</v>
      </c>
      <c r="D121" s="18">
        <v>1.1999999999999999E-3</v>
      </c>
      <c r="E121" s="19">
        <f t="shared" si="4"/>
        <v>1.1999999999999999E-3</v>
      </c>
      <c r="F121">
        <f>wyniki!$A$140</f>
        <v>0</v>
      </c>
      <c r="J121" s="93">
        <f t="shared" si="5"/>
        <v>0</v>
      </c>
      <c r="K121" s="77">
        <f>LARGE($E$2:$E$241,120)</f>
        <v>1.2099999999999999E-3</v>
      </c>
      <c r="L121" s="69">
        <f t="shared" si="6"/>
        <v>121</v>
      </c>
      <c r="M121" s="85">
        <f t="shared" si="7"/>
        <v>0</v>
      </c>
      <c r="N121" s="39">
        <v>120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2:29" ht="17.25" thickTop="1" thickBot="1">
      <c r="B122">
        <f>wyniki!B148</f>
        <v>0</v>
      </c>
      <c r="C122" s="19">
        <f>wyniki!G148</f>
        <v>0</v>
      </c>
      <c r="D122" s="18">
        <v>1.2099999999999999E-3</v>
      </c>
      <c r="E122" s="19">
        <f t="shared" si="4"/>
        <v>1.2099999999999999E-3</v>
      </c>
      <c r="F122">
        <f>wyniki!$A$147</f>
        <v>0</v>
      </c>
      <c r="J122" s="93">
        <f t="shared" si="5"/>
        <v>0</v>
      </c>
      <c r="K122" s="77">
        <f>LARGE($E$2:$E$241,121)</f>
        <v>1.1999999999999999E-3</v>
      </c>
      <c r="L122" s="69">
        <f t="shared" si="6"/>
        <v>120</v>
      </c>
      <c r="M122" s="85">
        <f t="shared" si="7"/>
        <v>0</v>
      </c>
      <c r="N122" s="39">
        <v>121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2:29" ht="17.25" thickTop="1" thickBot="1">
      <c r="B123">
        <f>wyniki!B149</f>
        <v>0</v>
      </c>
      <c r="C123" s="19">
        <f>wyniki!G149</f>
        <v>0</v>
      </c>
      <c r="D123" s="18">
        <v>1.2199999999999999E-3</v>
      </c>
      <c r="E123" s="19">
        <f t="shared" si="4"/>
        <v>1.2199999999999999E-3</v>
      </c>
      <c r="F123">
        <f>wyniki!$A$147</f>
        <v>0</v>
      </c>
      <c r="J123" s="93">
        <f t="shared" si="5"/>
        <v>0</v>
      </c>
      <c r="K123" s="77">
        <f>LARGE($E$2:$E$241,122)</f>
        <v>1.1900000000000001E-3</v>
      </c>
      <c r="L123" s="69">
        <f t="shared" si="6"/>
        <v>119</v>
      </c>
      <c r="M123" s="85">
        <f t="shared" si="7"/>
        <v>0</v>
      </c>
      <c r="N123" s="39">
        <v>122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2:29" ht="17.25" thickTop="1" thickBot="1">
      <c r="B124">
        <f>wyniki!B150</f>
        <v>0</v>
      </c>
      <c r="C124" s="19">
        <f>wyniki!G150</f>
        <v>0</v>
      </c>
      <c r="D124" s="18">
        <v>1.23E-3</v>
      </c>
      <c r="E124" s="19">
        <f t="shared" si="4"/>
        <v>1.23E-3</v>
      </c>
      <c r="F124">
        <f>wyniki!$A$147</f>
        <v>0</v>
      </c>
      <c r="J124" s="93">
        <f t="shared" si="5"/>
        <v>0</v>
      </c>
      <c r="K124" s="77">
        <f>LARGE($E$2:$E$241,123)</f>
        <v>1.1800000000000001E-3</v>
      </c>
      <c r="L124" s="69">
        <f t="shared" si="6"/>
        <v>118</v>
      </c>
      <c r="M124" s="85">
        <f t="shared" si="7"/>
        <v>0</v>
      </c>
      <c r="N124" s="39">
        <v>123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2:29" ht="17.25" thickTop="1" thickBot="1">
      <c r="B125">
        <f>wyniki!B151</f>
        <v>0</v>
      </c>
      <c r="C125" s="19">
        <f>wyniki!G151</f>
        <v>0</v>
      </c>
      <c r="D125" s="18">
        <v>1.24E-3</v>
      </c>
      <c r="E125" s="19">
        <f t="shared" si="4"/>
        <v>1.24E-3</v>
      </c>
      <c r="F125">
        <f>wyniki!$A$147</f>
        <v>0</v>
      </c>
      <c r="J125" s="93">
        <f t="shared" si="5"/>
        <v>0</v>
      </c>
      <c r="K125" s="77">
        <f>LARGE($E$2:$E$241,124)</f>
        <v>1.17E-3</v>
      </c>
      <c r="L125" s="69">
        <f t="shared" si="6"/>
        <v>117</v>
      </c>
      <c r="M125" s="85">
        <f t="shared" si="7"/>
        <v>0</v>
      </c>
      <c r="N125" s="39">
        <v>124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2:29" ht="17.25" thickTop="1" thickBot="1">
      <c r="B126">
        <f>wyniki!B152</f>
        <v>0</v>
      </c>
      <c r="C126" s="19">
        <f>wyniki!G152</f>
        <v>0</v>
      </c>
      <c r="D126" s="18">
        <v>1.25E-3</v>
      </c>
      <c r="E126" s="19">
        <f t="shared" si="4"/>
        <v>1.25E-3</v>
      </c>
      <c r="F126">
        <f>wyniki!$A$147</f>
        <v>0</v>
      </c>
      <c r="J126" s="93">
        <f t="shared" si="5"/>
        <v>0</v>
      </c>
      <c r="K126" s="77">
        <f>LARGE($E$2:$E$241,125)</f>
        <v>1.16E-3</v>
      </c>
      <c r="L126" s="69">
        <f t="shared" si="6"/>
        <v>116</v>
      </c>
      <c r="M126" s="85">
        <f t="shared" si="7"/>
        <v>0</v>
      </c>
      <c r="N126" s="39">
        <v>125</v>
      </c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2:29" ht="17.25" thickTop="1" thickBot="1">
      <c r="B127">
        <f>wyniki!B153</f>
        <v>0</v>
      </c>
      <c r="C127" s="19">
        <f>wyniki!G153</f>
        <v>0</v>
      </c>
      <c r="D127" s="18">
        <v>1.2600000000000001E-3</v>
      </c>
      <c r="E127" s="19">
        <f t="shared" si="4"/>
        <v>1.2600000000000001E-3</v>
      </c>
      <c r="F127">
        <f>wyniki!$A$147</f>
        <v>0</v>
      </c>
      <c r="J127" s="93">
        <f t="shared" si="5"/>
        <v>0</v>
      </c>
      <c r="K127" s="77">
        <f>LARGE($E$2:$E$241,126)</f>
        <v>1.15E-3</v>
      </c>
      <c r="L127" s="69">
        <f t="shared" si="6"/>
        <v>115</v>
      </c>
      <c r="M127" s="85">
        <f t="shared" si="7"/>
        <v>0</v>
      </c>
      <c r="N127" s="39">
        <v>126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2:29" ht="17.25" thickTop="1" thickBot="1">
      <c r="B128">
        <f>wyniki!B155</f>
        <v>0</v>
      </c>
      <c r="C128" s="19">
        <f>wyniki!G155</f>
        <v>0</v>
      </c>
      <c r="D128" s="18">
        <v>1.2700000000000001E-3</v>
      </c>
      <c r="E128" s="19">
        <f t="shared" si="4"/>
        <v>1.2700000000000001E-3</v>
      </c>
      <c r="F128">
        <f>wyniki!$A$154</f>
        <v>0</v>
      </c>
      <c r="J128" s="93">
        <f t="shared" si="5"/>
        <v>0</v>
      </c>
      <c r="K128" s="77">
        <f>LARGE($E$2:$E$241,127)</f>
        <v>1.14E-3</v>
      </c>
      <c r="L128" s="69">
        <f t="shared" si="6"/>
        <v>114</v>
      </c>
      <c r="M128" s="85">
        <f t="shared" si="7"/>
        <v>0</v>
      </c>
      <c r="N128" s="39">
        <v>127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2:29" ht="17.25" thickTop="1" thickBot="1">
      <c r="B129">
        <f>wyniki!B156</f>
        <v>0</v>
      </c>
      <c r="C129" s="19">
        <f>wyniki!G156</f>
        <v>0</v>
      </c>
      <c r="D129" s="18">
        <v>1.2800000000000001E-3</v>
      </c>
      <c r="E129" s="19">
        <f t="shared" si="4"/>
        <v>1.2800000000000001E-3</v>
      </c>
      <c r="F129">
        <f>wyniki!$A$154</f>
        <v>0</v>
      </c>
      <c r="J129" s="93">
        <f t="shared" si="5"/>
        <v>0</v>
      </c>
      <c r="K129" s="77">
        <f>LARGE($E$2:$E$241,128)</f>
        <v>1.1299999999999999E-3</v>
      </c>
      <c r="L129" s="69">
        <f t="shared" si="6"/>
        <v>113</v>
      </c>
      <c r="M129" s="85">
        <f t="shared" si="7"/>
        <v>0</v>
      </c>
      <c r="N129" s="39">
        <v>128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2:29" ht="17.25" thickTop="1" thickBot="1">
      <c r="B130">
        <f>wyniki!B157</f>
        <v>0</v>
      </c>
      <c r="C130" s="19">
        <f>wyniki!G157</f>
        <v>0</v>
      </c>
      <c r="D130" s="18">
        <v>1.2899999999999999E-3</v>
      </c>
      <c r="E130" s="19">
        <f t="shared" si="4"/>
        <v>1.2899999999999999E-3</v>
      </c>
      <c r="F130">
        <f>wyniki!$A$154</f>
        <v>0</v>
      </c>
      <c r="J130" s="93">
        <f t="shared" si="5"/>
        <v>0</v>
      </c>
      <c r="K130" s="77">
        <f>LARGE($E$2:$E$241,129)</f>
        <v>1.1199999999999999E-3</v>
      </c>
      <c r="L130" s="69">
        <f t="shared" si="6"/>
        <v>112</v>
      </c>
      <c r="M130" s="85">
        <f t="shared" si="7"/>
        <v>0</v>
      </c>
      <c r="N130" s="39">
        <v>129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2:29" ht="17.25" thickTop="1" thickBot="1">
      <c r="B131">
        <f>wyniki!B158</f>
        <v>0</v>
      </c>
      <c r="C131" s="19">
        <f>wyniki!G158</f>
        <v>0</v>
      </c>
      <c r="D131" s="18">
        <v>1.2999999999999999E-3</v>
      </c>
      <c r="E131" s="19">
        <f t="shared" ref="E131:E194" si="8">C131+D131</f>
        <v>1.2999999999999999E-3</v>
      </c>
      <c r="F131">
        <f>wyniki!$A$154</f>
        <v>0</v>
      </c>
      <c r="J131" s="93">
        <f t="shared" ref="J131:J194" si="9">INDEX($B$2:$E$241,L131,1)</f>
        <v>0</v>
      </c>
      <c r="K131" s="77">
        <f>LARGE($E$2:$E$241,130)</f>
        <v>1.1100000000000001E-3</v>
      </c>
      <c r="L131" s="69">
        <f t="shared" ref="L131:L194" si="10">MATCH(K131,$E$2:$E$241,0)</f>
        <v>111</v>
      </c>
      <c r="M131" s="85">
        <f t="shared" ref="M131:M194" si="11">INDEX($E$2:$F$241,L131,2)</f>
        <v>0</v>
      </c>
      <c r="N131" s="39">
        <v>130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2:29" ht="17.25" thickTop="1" thickBot="1">
      <c r="B132">
        <f>wyniki!B159</f>
        <v>0</v>
      </c>
      <c r="C132" s="19">
        <f>wyniki!G159</f>
        <v>0</v>
      </c>
      <c r="D132" s="18">
        <v>1.31E-3</v>
      </c>
      <c r="E132" s="19">
        <f t="shared" si="8"/>
        <v>1.31E-3</v>
      </c>
      <c r="F132">
        <f>wyniki!$A$154</f>
        <v>0</v>
      </c>
      <c r="J132" s="93">
        <f t="shared" si="9"/>
        <v>0</v>
      </c>
      <c r="K132" s="77">
        <f>LARGE($E$2:$E$241,131)</f>
        <v>1.1000000000000001E-3</v>
      </c>
      <c r="L132" s="69">
        <f t="shared" si="10"/>
        <v>110</v>
      </c>
      <c r="M132" s="85">
        <f t="shared" si="11"/>
        <v>0</v>
      </c>
      <c r="N132" s="39">
        <v>131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2:29" ht="17.25" thickTop="1" thickBot="1">
      <c r="B133">
        <f>wyniki!B160</f>
        <v>0</v>
      </c>
      <c r="C133" s="19">
        <f>wyniki!G160</f>
        <v>0</v>
      </c>
      <c r="D133" s="18">
        <v>1.32E-3</v>
      </c>
      <c r="E133" s="19">
        <f t="shared" si="8"/>
        <v>1.32E-3</v>
      </c>
      <c r="F133">
        <f>wyniki!$A$154</f>
        <v>0</v>
      </c>
      <c r="J133" s="93">
        <f t="shared" si="9"/>
        <v>0</v>
      </c>
      <c r="K133" s="77">
        <f>LARGE($E$2:$E$241,132)</f>
        <v>1.09E-3</v>
      </c>
      <c r="L133" s="69">
        <f t="shared" si="10"/>
        <v>109</v>
      </c>
      <c r="M133" s="85">
        <f t="shared" si="11"/>
        <v>0</v>
      </c>
      <c r="N133" s="39">
        <v>132</v>
      </c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2:29" ht="17.25" thickTop="1" thickBot="1">
      <c r="B134">
        <f>wyniki!B162</f>
        <v>0</v>
      </c>
      <c r="C134" s="19">
        <f>wyniki!G162</f>
        <v>0</v>
      </c>
      <c r="D134" s="18">
        <v>1.33E-3</v>
      </c>
      <c r="E134" s="19">
        <f t="shared" si="8"/>
        <v>1.33E-3</v>
      </c>
      <c r="F134">
        <f>wyniki!$A$161</f>
        <v>0</v>
      </c>
      <c r="J134" s="93">
        <f t="shared" si="9"/>
        <v>0</v>
      </c>
      <c r="K134" s="77">
        <f>LARGE($E$2:$E$241,133)</f>
        <v>1.08E-3</v>
      </c>
      <c r="L134" s="69">
        <f t="shared" si="10"/>
        <v>108</v>
      </c>
      <c r="M134" s="85">
        <f t="shared" si="11"/>
        <v>0</v>
      </c>
      <c r="N134" s="39">
        <v>133</v>
      </c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2:29" ht="17.25" thickTop="1" thickBot="1">
      <c r="B135">
        <f>wyniki!B163</f>
        <v>0</v>
      </c>
      <c r="C135" s="19">
        <f>wyniki!G163</f>
        <v>0</v>
      </c>
      <c r="D135" s="18">
        <v>1.34E-3</v>
      </c>
      <c r="E135" s="19">
        <f t="shared" si="8"/>
        <v>1.34E-3</v>
      </c>
      <c r="F135">
        <f>wyniki!$A$161</f>
        <v>0</v>
      </c>
      <c r="J135" s="93">
        <f t="shared" si="9"/>
        <v>0</v>
      </c>
      <c r="K135" s="77">
        <f>LARGE($E$2:$E$241,134)</f>
        <v>1.07E-3</v>
      </c>
      <c r="L135" s="69">
        <f t="shared" si="10"/>
        <v>107</v>
      </c>
      <c r="M135" s="85">
        <f t="shared" si="11"/>
        <v>0</v>
      </c>
      <c r="N135" s="39">
        <v>134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2:29" ht="17.25" thickTop="1" thickBot="1">
      <c r="B136">
        <f>wyniki!B164</f>
        <v>0</v>
      </c>
      <c r="C136" s="19">
        <f>wyniki!G164</f>
        <v>0</v>
      </c>
      <c r="D136" s="18">
        <v>1.3500000000000001E-3</v>
      </c>
      <c r="E136" s="19">
        <f t="shared" si="8"/>
        <v>1.3500000000000001E-3</v>
      </c>
      <c r="F136">
        <f>wyniki!$A$161</f>
        <v>0</v>
      </c>
      <c r="J136" s="93">
        <f t="shared" si="9"/>
        <v>0</v>
      </c>
      <c r="K136" s="77">
        <f>LARGE($E$2:$E$241,135)</f>
        <v>1.06E-3</v>
      </c>
      <c r="L136" s="69">
        <f t="shared" si="10"/>
        <v>106</v>
      </c>
      <c r="M136" s="85">
        <f t="shared" si="11"/>
        <v>0</v>
      </c>
      <c r="N136" s="39">
        <v>135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2:29" ht="17.25" thickTop="1" thickBot="1">
      <c r="B137">
        <f>wyniki!B165</f>
        <v>0</v>
      </c>
      <c r="C137" s="19">
        <f>wyniki!G165</f>
        <v>0</v>
      </c>
      <c r="D137" s="18">
        <v>1.3600000000000001E-3</v>
      </c>
      <c r="E137" s="19">
        <f t="shared" si="8"/>
        <v>1.3600000000000001E-3</v>
      </c>
      <c r="F137">
        <f>wyniki!$A$161</f>
        <v>0</v>
      </c>
      <c r="J137" s="93">
        <f t="shared" si="9"/>
        <v>0</v>
      </c>
      <c r="K137" s="77">
        <f>LARGE($E$2:$E$241,136)</f>
        <v>1.0499999999999999E-3</v>
      </c>
      <c r="L137" s="69">
        <f t="shared" si="10"/>
        <v>105</v>
      </c>
      <c r="M137" s="85">
        <f t="shared" si="11"/>
        <v>0</v>
      </c>
      <c r="N137" s="39">
        <v>136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2:29" ht="17.25" thickTop="1" thickBot="1">
      <c r="B138">
        <f>wyniki!B166</f>
        <v>0</v>
      </c>
      <c r="C138" s="19">
        <f>wyniki!G166</f>
        <v>0</v>
      </c>
      <c r="D138" s="18">
        <v>1.3699999999999999E-3</v>
      </c>
      <c r="E138" s="19">
        <f t="shared" si="8"/>
        <v>1.3699999999999999E-3</v>
      </c>
      <c r="F138">
        <f>wyniki!$A$161</f>
        <v>0</v>
      </c>
      <c r="J138" s="93">
        <f t="shared" si="9"/>
        <v>0</v>
      </c>
      <c r="K138" s="77">
        <f>LARGE($E$2:$E$241,137)</f>
        <v>1.0399999999999999E-3</v>
      </c>
      <c r="L138" s="69">
        <f t="shared" si="10"/>
        <v>104</v>
      </c>
      <c r="M138" s="85">
        <f t="shared" si="11"/>
        <v>0</v>
      </c>
      <c r="N138" s="39">
        <v>137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2:29" ht="17.25" thickTop="1" thickBot="1">
      <c r="B139">
        <f>wyniki!B167</f>
        <v>0</v>
      </c>
      <c r="C139" s="19">
        <f>wyniki!G167</f>
        <v>0</v>
      </c>
      <c r="D139" s="18">
        <v>1.3799999999999999E-3</v>
      </c>
      <c r="E139" s="19">
        <f t="shared" si="8"/>
        <v>1.3799999999999999E-3</v>
      </c>
      <c r="F139">
        <f>wyniki!$A$161</f>
        <v>0</v>
      </c>
      <c r="J139" s="93">
        <f t="shared" si="9"/>
        <v>0</v>
      </c>
      <c r="K139" s="77">
        <f>LARGE($E$2:$E$241,138)</f>
        <v>1.0300000000000001E-3</v>
      </c>
      <c r="L139" s="69">
        <f t="shared" si="10"/>
        <v>103</v>
      </c>
      <c r="M139" s="85">
        <f t="shared" si="11"/>
        <v>0</v>
      </c>
      <c r="N139" s="39">
        <v>138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2:29" ht="17.25" thickTop="1" thickBot="1">
      <c r="B140">
        <f>wyniki!B169</f>
        <v>0</v>
      </c>
      <c r="C140" s="19">
        <f>wyniki!G169</f>
        <v>0</v>
      </c>
      <c r="D140" s="18">
        <v>1.39E-3</v>
      </c>
      <c r="E140" s="19">
        <f t="shared" si="8"/>
        <v>1.39E-3</v>
      </c>
      <c r="F140">
        <f>wyniki!$A$168</f>
        <v>0</v>
      </c>
      <c r="J140" s="93">
        <f t="shared" si="9"/>
        <v>0</v>
      </c>
      <c r="K140" s="77">
        <f>LARGE($E$2:$E$241,139)</f>
        <v>1.0200000000000001E-3</v>
      </c>
      <c r="L140" s="69">
        <f t="shared" si="10"/>
        <v>102</v>
      </c>
      <c r="M140" s="85">
        <f t="shared" si="11"/>
        <v>0</v>
      </c>
      <c r="N140" s="39">
        <v>139</v>
      </c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2:29" ht="17.25" thickTop="1" thickBot="1">
      <c r="B141">
        <f>wyniki!B170</f>
        <v>0</v>
      </c>
      <c r="C141" s="19">
        <f>wyniki!G170</f>
        <v>0</v>
      </c>
      <c r="D141" s="18">
        <v>1.4E-3</v>
      </c>
      <c r="E141" s="19">
        <f t="shared" si="8"/>
        <v>1.4E-3</v>
      </c>
      <c r="F141">
        <f>wyniki!$A$168</f>
        <v>0</v>
      </c>
      <c r="J141" s="93">
        <f t="shared" si="9"/>
        <v>0</v>
      </c>
      <c r="K141" s="77">
        <f>LARGE($E$2:$E$241,140)</f>
        <v>1.01E-3</v>
      </c>
      <c r="L141" s="69">
        <f t="shared" si="10"/>
        <v>101</v>
      </c>
      <c r="M141" s="85">
        <f t="shared" si="11"/>
        <v>0</v>
      </c>
      <c r="N141" s="39">
        <v>140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2:29" ht="17.25" thickTop="1" thickBot="1">
      <c r="B142">
        <f>wyniki!B171</f>
        <v>0</v>
      </c>
      <c r="C142" s="19">
        <f>wyniki!G171</f>
        <v>0</v>
      </c>
      <c r="D142" s="18">
        <v>1.41E-3</v>
      </c>
      <c r="E142" s="19">
        <f t="shared" si="8"/>
        <v>1.41E-3</v>
      </c>
      <c r="F142">
        <f>wyniki!$A$168</f>
        <v>0</v>
      </c>
      <c r="J142" s="93">
        <f t="shared" si="9"/>
        <v>0</v>
      </c>
      <c r="K142" s="77">
        <f>LARGE($E$2:$E$241,141)</f>
        <v>1E-3</v>
      </c>
      <c r="L142" s="69">
        <f t="shared" si="10"/>
        <v>100</v>
      </c>
      <c r="M142" s="85">
        <f t="shared" si="11"/>
        <v>0</v>
      </c>
      <c r="N142" s="39">
        <v>141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2:29" ht="17.25" thickTop="1" thickBot="1">
      <c r="B143">
        <f>wyniki!B172</f>
        <v>0</v>
      </c>
      <c r="C143" s="19">
        <f>wyniki!G172</f>
        <v>0</v>
      </c>
      <c r="D143" s="18">
        <v>1.42E-3</v>
      </c>
      <c r="E143" s="19">
        <f t="shared" si="8"/>
        <v>1.42E-3</v>
      </c>
      <c r="F143">
        <f>wyniki!$A$168</f>
        <v>0</v>
      </c>
      <c r="J143" s="93" t="str">
        <f t="shared" si="9"/>
        <v>Kowalska Antonina</v>
      </c>
      <c r="K143" s="77">
        <f>LARGE($E$2:$E$241,142)</f>
        <v>9.8999999999999999E-4</v>
      </c>
      <c r="L143" s="69">
        <f t="shared" si="10"/>
        <v>9</v>
      </c>
      <c r="M143" s="85" t="str">
        <f t="shared" si="11"/>
        <v>SP204 Warszawa</v>
      </c>
      <c r="N143" s="39">
        <v>142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2:29" ht="17.25" thickTop="1" thickBot="1">
      <c r="B144">
        <f>wyniki!B173</f>
        <v>0</v>
      </c>
      <c r="C144" s="19">
        <f>wyniki!G173</f>
        <v>0</v>
      </c>
      <c r="D144" s="18">
        <v>1.4300000000000001E-3</v>
      </c>
      <c r="E144" s="19">
        <f t="shared" si="8"/>
        <v>1.4300000000000001E-3</v>
      </c>
      <c r="F144">
        <f>wyniki!$A$168</f>
        <v>0</v>
      </c>
      <c r="J144" s="93" t="str">
        <f t="shared" si="9"/>
        <v>Kowalska Antonina</v>
      </c>
      <c r="K144" s="77">
        <f>LARGE($E$2:$E$241,143)</f>
        <v>9.8999999999999999E-4</v>
      </c>
      <c r="L144" s="69">
        <f t="shared" si="10"/>
        <v>9</v>
      </c>
      <c r="M144" s="85" t="str">
        <f t="shared" si="11"/>
        <v>SP204 Warszawa</v>
      </c>
      <c r="N144" s="39">
        <v>143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2:29" ht="17.25" thickTop="1" thickBot="1">
      <c r="B145">
        <f>wyniki!B174</f>
        <v>0</v>
      </c>
      <c r="C145" s="19">
        <f>wyniki!G174</f>
        <v>0</v>
      </c>
      <c r="D145" s="18">
        <v>1.4400000000000001E-3</v>
      </c>
      <c r="E145" s="19">
        <f t="shared" si="8"/>
        <v>1.4400000000000001E-3</v>
      </c>
      <c r="F145">
        <f>wyniki!$A$168</f>
        <v>0</v>
      </c>
      <c r="J145" s="93">
        <f t="shared" si="9"/>
        <v>0</v>
      </c>
      <c r="K145" s="77">
        <f>LARGE($E$2:$E$241,144)</f>
        <v>9.7999999999999997E-4</v>
      </c>
      <c r="L145" s="69">
        <f t="shared" si="10"/>
        <v>98</v>
      </c>
      <c r="M145" s="85">
        <f t="shared" si="11"/>
        <v>0</v>
      </c>
      <c r="N145" s="39">
        <v>144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2:29" ht="17.25" thickTop="1" thickBot="1">
      <c r="B146">
        <f>wyniki!B176</f>
        <v>0</v>
      </c>
      <c r="C146" s="19">
        <f>wyniki!G176</f>
        <v>0</v>
      </c>
      <c r="D146" s="18">
        <v>1.4499999999999999E-3</v>
      </c>
      <c r="E146" s="19">
        <f t="shared" si="8"/>
        <v>1.4499999999999999E-3</v>
      </c>
      <c r="F146">
        <f>wyniki!$A$175</f>
        <v>0</v>
      </c>
      <c r="J146" s="93">
        <f t="shared" si="9"/>
        <v>0</v>
      </c>
      <c r="K146" s="77">
        <f>LARGE($E$2:$E$241,145)</f>
        <v>9.7000000000000005E-4</v>
      </c>
      <c r="L146" s="69">
        <f t="shared" si="10"/>
        <v>97</v>
      </c>
      <c r="M146" s="85">
        <f t="shared" si="11"/>
        <v>0</v>
      </c>
      <c r="N146" s="39">
        <v>145</v>
      </c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2:29" ht="17.25" thickTop="1" thickBot="1">
      <c r="B147">
        <f>wyniki!B177</f>
        <v>0</v>
      </c>
      <c r="C147" s="19">
        <f>wyniki!G177</f>
        <v>0</v>
      </c>
      <c r="D147" s="18">
        <v>1.4599999999999999E-3</v>
      </c>
      <c r="E147" s="19">
        <f t="shared" si="8"/>
        <v>1.4599999999999999E-3</v>
      </c>
      <c r="F147">
        <f>wyniki!$A$175</f>
        <v>0</v>
      </c>
      <c r="J147" s="93">
        <f t="shared" si="9"/>
        <v>0</v>
      </c>
      <c r="K147" s="77">
        <f>LARGE($E$2:$E$241,146)</f>
        <v>9.6000000000000002E-4</v>
      </c>
      <c r="L147" s="69">
        <f t="shared" si="10"/>
        <v>96</v>
      </c>
      <c r="M147" s="85">
        <f t="shared" si="11"/>
        <v>0</v>
      </c>
      <c r="N147" s="39">
        <v>146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2:29" ht="17.25" thickTop="1" thickBot="1">
      <c r="B148">
        <f>wyniki!B178</f>
        <v>0</v>
      </c>
      <c r="C148" s="19">
        <f>wyniki!G178</f>
        <v>0</v>
      </c>
      <c r="D148" s="18">
        <v>1.47E-3</v>
      </c>
      <c r="E148" s="19">
        <f t="shared" si="8"/>
        <v>1.47E-3</v>
      </c>
      <c r="F148">
        <f>wyniki!$A$175</f>
        <v>0</v>
      </c>
      <c r="J148" s="93">
        <f t="shared" si="9"/>
        <v>0</v>
      </c>
      <c r="K148" s="77">
        <f>LARGE($E$2:$E$241,147)</f>
        <v>9.5E-4</v>
      </c>
      <c r="L148" s="69">
        <f t="shared" si="10"/>
        <v>95</v>
      </c>
      <c r="M148" s="85">
        <f t="shared" si="11"/>
        <v>0</v>
      </c>
      <c r="N148" s="39">
        <v>147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2:29" ht="17.25" thickTop="1" thickBot="1">
      <c r="B149">
        <f>wyniki!B179</f>
        <v>0</v>
      </c>
      <c r="C149" s="19">
        <f>wyniki!G179</f>
        <v>0</v>
      </c>
      <c r="D149" s="18">
        <v>1.48E-3</v>
      </c>
      <c r="E149" s="19">
        <f t="shared" si="8"/>
        <v>1.48E-3</v>
      </c>
      <c r="F149">
        <f>wyniki!$A$175</f>
        <v>0</v>
      </c>
      <c r="J149" s="93">
        <f t="shared" si="9"/>
        <v>0</v>
      </c>
      <c r="K149" s="77">
        <f>LARGE($E$2:$E$241,148)</f>
        <v>9.3999999999999997E-4</v>
      </c>
      <c r="L149" s="69">
        <f t="shared" si="10"/>
        <v>94</v>
      </c>
      <c r="M149" s="85">
        <f t="shared" si="11"/>
        <v>0</v>
      </c>
      <c r="N149" s="39">
        <v>148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2:29" ht="17.25" thickTop="1" thickBot="1">
      <c r="B150">
        <f>wyniki!B180</f>
        <v>0</v>
      </c>
      <c r="C150" s="19">
        <f>wyniki!G180</f>
        <v>0</v>
      </c>
      <c r="D150" s="18">
        <v>1.49E-3</v>
      </c>
      <c r="E150" s="19">
        <f t="shared" si="8"/>
        <v>1.49E-3</v>
      </c>
      <c r="F150">
        <f>wyniki!$A$175</f>
        <v>0</v>
      </c>
      <c r="J150" s="93">
        <f t="shared" si="9"/>
        <v>0</v>
      </c>
      <c r="K150" s="77">
        <f>LARGE($E$2:$E$241,149)</f>
        <v>9.3000000000000005E-4</v>
      </c>
      <c r="L150" s="69">
        <f t="shared" si="10"/>
        <v>93</v>
      </c>
      <c r="M150" s="85">
        <f t="shared" si="11"/>
        <v>0</v>
      </c>
      <c r="N150" s="39">
        <v>149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2:29" ht="17.25" thickTop="1" thickBot="1">
      <c r="B151">
        <f>wyniki!B181</f>
        <v>0</v>
      </c>
      <c r="C151" s="19">
        <f>wyniki!G181</f>
        <v>0</v>
      </c>
      <c r="D151" s="18">
        <v>1.5E-3</v>
      </c>
      <c r="E151" s="19">
        <f t="shared" si="8"/>
        <v>1.5E-3</v>
      </c>
      <c r="F151">
        <f>wyniki!$A$175</f>
        <v>0</v>
      </c>
      <c r="J151" s="93">
        <f t="shared" si="9"/>
        <v>0</v>
      </c>
      <c r="K151" s="77">
        <f>LARGE($E$2:$E$241,150)</f>
        <v>9.2000000000000003E-4</v>
      </c>
      <c r="L151" s="69">
        <f t="shared" si="10"/>
        <v>92</v>
      </c>
      <c r="M151" s="85">
        <f t="shared" si="11"/>
        <v>0</v>
      </c>
      <c r="N151" s="39">
        <v>150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2:29" ht="17.25" thickTop="1" thickBot="1">
      <c r="B152">
        <f>wyniki!B183</f>
        <v>0</v>
      </c>
      <c r="C152" s="19">
        <f>wyniki!G183</f>
        <v>0</v>
      </c>
      <c r="D152" s="18">
        <v>1.5100000000000001E-3</v>
      </c>
      <c r="E152" s="19">
        <f t="shared" si="8"/>
        <v>1.5100000000000001E-3</v>
      </c>
      <c r="F152">
        <f>wyniki!$A$182</f>
        <v>0</v>
      </c>
      <c r="J152" s="93">
        <f t="shared" si="9"/>
        <v>0</v>
      </c>
      <c r="K152" s="77">
        <f>LARGE($E$2:$E$241,151)</f>
        <v>9.1E-4</v>
      </c>
      <c r="L152" s="69">
        <f t="shared" si="10"/>
        <v>91</v>
      </c>
      <c r="M152" s="85">
        <f t="shared" si="11"/>
        <v>0</v>
      </c>
      <c r="N152" s="39">
        <v>151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2:29" ht="17.25" thickTop="1" thickBot="1">
      <c r="B153">
        <f>wyniki!B184</f>
        <v>0</v>
      </c>
      <c r="C153" s="19">
        <f>wyniki!G184</f>
        <v>0</v>
      </c>
      <c r="D153" s="18">
        <v>1.5200000000000001E-3</v>
      </c>
      <c r="E153" s="19">
        <f t="shared" si="8"/>
        <v>1.5200000000000001E-3</v>
      </c>
      <c r="F153">
        <f>wyniki!$A$182</f>
        <v>0</v>
      </c>
      <c r="J153" s="93">
        <f t="shared" si="9"/>
        <v>0</v>
      </c>
      <c r="K153" s="77">
        <f>LARGE($E$2:$E$241,152)</f>
        <v>8.9999999999999998E-4</v>
      </c>
      <c r="L153" s="69">
        <f t="shared" si="10"/>
        <v>90</v>
      </c>
      <c r="M153" s="85">
        <f t="shared" si="11"/>
        <v>0</v>
      </c>
      <c r="N153" s="39">
        <v>152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2:29" ht="17.25" thickTop="1" thickBot="1">
      <c r="B154">
        <f>wyniki!B185</f>
        <v>0</v>
      </c>
      <c r="C154" s="19">
        <f>wyniki!G185</f>
        <v>0</v>
      </c>
      <c r="D154" s="18">
        <v>1.5299999999999999E-3</v>
      </c>
      <c r="E154" s="19">
        <f t="shared" si="8"/>
        <v>1.5299999999999999E-3</v>
      </c>
      <c r="F154">
        <f>wyniki!$A$182</f>
        <v>0</v>
      </c>
      <c r="J154" s="93">
        <f t="shared" si="9"/>
        <v>0</v>
      </c>
      <c r="K154" s="77">
        <f>LARGE($E$2:$E$241,153)</f>
        <v>8.8999999999999995E-4</v>
      </c>
      <c r="L154" s="69">
        <f t="shared" si="10"/>
        <v>89</v>
      </c>
      <c r="M154" s="85">
        <f t="shared" si="11"/>
        <v>0</v>
      </c>
      <c r="N154" s="39">
        <v>153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2:29" ht="17.25" thickTop="1" thickBot="1">
      <c r="B155">
        <f>wyniki!B186</f>
        <v>0</v>
      </c>
      <c r="C155" s="19">
        <f>wyniki!G186</f>
        <v>0</v>
      </c>
      <c r="D155" s="18">
        <v>1.5399999999999999E-3</v>
      </c>
      <c r="E155" s="19">
        <f t="shared" si="8"/>
        <v>1.5399999999999999E-3</v>
      </c>
      <c r="F155">
        <f>wyniki!$A$182</f>
        <v>0</v>
      </c>
      <c r="J155" s="93">
        <f t="shared" si="9"/>
        <v>0</v>
      </c>
      <c r="K155" s="77">
        <f>LARGE($E$2:$E$241,154)</f>
        <v>8.8000000000000003E-4</v>
      </c>
      <c r="L155" s="69">
        <f t="shared" si="10"/>
        <v>88</v>
      </c>
      <c r="M155" s="85">
        <f t="shared" si="11"/>
        <v>0</v>
      </c>
      <c r="N155" s="39">
        <v>154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2:29" ht="17.25" thickTop="1" thickBot="1">
      <c r="B156">
        <f>wyniki!B187</f>
        <v>0</v>
      </c>
      <c r="C156" s="19">
        <f>wyniki!G187</f>
        <v>0</v>
      </c>
      <c r="D156" s="18">
        <v>1.5499999999999999E-3</v>
      </c>
      <c r="E156" s="19">
        <f t="shared" si="8"/>
        <v>1.5499999999999999E-3</v>
      </c>
      <c r="F156">
        <f>wyniki!$A$182</f>
        <v>0</v>
      </c>
      <c r="J156" s="93">
        <f t="shared" si="9"/>
        <v>0</v>
      </c>
      <c r="K156" s="77">
        <f>LARGE($E$2:$E$241,155)</f>
        <v>8.7000000000000001E-4</v>
      </c>
      <c r="L156" s="69">
        <f t="shared" si="10"/>
        <v>87</v>
      </c>
      <c r="M156" s="85">
        <f t="shared" si="11"/>
        <v>0</v>
      </c>
      <c r="N156" s="39">
        <v>155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2:29" ht="17.25" thickTop="1" thickBot="1">
      <c r="B157">
        <f>wyniki!B188</f>
        <v>0</v>
      </c>
      <c r="C157" s="19">
        <f>wyniki!G188</f>
        <v>0</v>
      </c>
      <c r="D157" s="18">
        <v>1.56E-3</v>
      </c>
      <c r="E157" s="19">
        <f t="shared" si="8"/>
        <v>1.56E-3</v>
      </c>
      <c r="F157">
        <f>wyniki!$A$182</f>
        <v>0</v>
      </c>
      <c r="J157" s="93">
        <f t="shared" si="9"/>
        <v>0</v>
      </c>
      <c r="K157" s="77">
        <f>LARGE($E$2:$E$241,156)</f>
        <v>8.5999999999999998E-4</v>
      </c>
      <c r="L157" s="69">
        <f t="shared" si="10"/>
        <v>86</v>
      </c>
      <c r="M157" s="85">
        <f t="shared" si="11"/>
        <v>0</v>
      </c>
      <c r="N157" s="39">
        <v>156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2:29" ht="17.25" thickTop="1" thickBot="1">
      <c r="B158">
        <f>wyniki!B190</f>
        <v>0</v>
      </c>
      <c r="C158" s="19">
        <f>wyniki!G190</f>
        <v>0</v>
      </c>
      <c r="D158" s="18">
        <v>1.57E-3</v>
      </c>
      <c r="E158" s="19">
        <f t="shared" si="8"/>
        <v>1.57E-3</v>
      </c>
      <c r="F158">
        <f>wyniki!$A$189</f>
        <v>0</v>
      </c>
      <c r="J158" s="93">
        <f t="shared" si="9"/>
        <v>0</v>
      </c>
      <c r="K158" s="77">
        <f>LARGE($E$2:$E$241,157)</f>
        <v>8.4999999999999995E-4</v>
      </c>
      <c r="L158" s="69">
        <f t="shared" si="10"/>
        <v>85</v>
      </c>
      <c r="M158" s="85">
        <f t="shared" si="11"/>
        <v>0</v>
      </c>
      <c r="N158" s="39">
        <v>157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2:29" ht="17.25" thickTop="1" thickBot="1">
      <c r="B159">
        <f>wyniki!B191</f>
        <v>0</v>
      </c>
      <c r="C159" s="19">
        <f>wyniki!G191</f>
        <v>0</v>
      </c>
      <c r="D159" s="18">
        <v>1.58E-3</v>
      </c>
      <c r="E159" s="19">
        <f t="shared" si="8"/>
        <v>1.58E-3</v>
      </c>
      <c r="F159">
        <f>wyniki!$A$189</f>
        <v>0</v>
      </c>
      <c r="J159" s="93">
        <f t="shared" si="9"/>
        <v>0</v>
      </c>
      <c r="K159" s="77">
        <f>LARGE($E$2:$E$241,158)</f>
        <v>8.4000000000000003E-4</v>
      </c>
      <c r="L159" s="69">
        <f t="shared" si="10"/>
        <v>84</v>
      </c>
      <c r="M159" s="85">
        <f t="shared" si="11"/>
        <v>0</v>
      </c>
      <c r="N159" s="39">
        <v>158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2:29" ht="17.25" thickTop="1" thickBot="1">
      <c r="B160">
        <f>wyniki!B192</f>
        <v>0</v>
      </c>
      <c r="C160" s="19">
        <f>wyniki!G192</f>
        <v>0</v>
      </c>
      <c r="D160" s="18">
        <v>1.5900000000000001E-3</v>
      </c>
      <c r="E160" s="19">
        <f t="shared" si="8"/>
        <v>1.5900000000000001E-3</v>
      </c>
      <c r="F160">
        <f>wyniki!$A$189</f>
        <v>0</v>
      </c>
      <c r="J160" s="93">
        <f t="shared" si="9"/>
        <v>0</v>
      </c>
      <c r="K160" s="77">
        <f>LARGE($E$2:$E$241,159)</f>
        <v>8.3000000000000001E-4</v>
      </c>
      <c r="L160" s="69">
        <f t="shared" si="10"/>
        <v>83</v>
      </c>
      <c r="M160" s="85">
        <f t="shared" si="11"/>
        <v>0</v>
      </c>
      <c r="N160" s="39">
        <v>159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2:29" ht="17.25" thickTop="1" thickBot="1">
      <c r="B161">
        <f>wyniki!B193</f>
        <v>0</v>
      </c>
      <c r="C161" s="19">
        <f>wyniki!G193</f>
        <v>0</v>
      </c>
      <c r="D161" s="18">
        <v>1.6000000000000001E-3</v>
      </c>
      <c r="E161" s="19">
        <f t="shared" si="8"/>
        <v>1.6000000000000001E-3</v>
      </c>
      <c r="F161">
        <f>wyniki!$A$189</f>
        <v>0</v>
      </c>
      <c r="J161" s="93">
        <f t="shared" si="9"/>
        <v>0</v>
      </c>
      <c r="K161" s="77">
        <f>LARGE($E$2:$E$241,160)</f>
        <v>8.1999999999999998E-4</v>
      </c>
      <c r="L161" s="69">
        <f t="shared" si="10"/>
        <v>82</v>
      </c>
      <c r="M161" s="85">
        <f t="shared" si="11"/>
        <v>0</v>
      </c>
      <c r="N161" s="39">
        <v>160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2:29" ht="17.25" thickTop="1" thickBot="1">
      <c r="B162">
        <f>wyniki!B194</f>
        <v>0</v>
      </c>
      <c r="C162" s="19">
        <f>wyniki!G194</f>
        <v>0</v>
      </c>
      <c r="D162" s="18">
        <v>1.6100000000000001E-3</v>
      </c>
      <c r="E162" s="19">
        <f t="shared" si="8"/>
        <v>1.6100000000000001E-3</v>
      </c>
      <c r="F162">
        <f>wyniki!$A$189</f>
        <v>0</v>
      </c>
      <c r="J162" s="93">
        <f t="shared" si="9"/>
        <v>0</v>
      </c>
      <c r="K162" s="77">
        <f>LARGE($E$2:$E$241,161)</f>
        <v>8.0999999999999996E-4</v>
      </c>
      <c r="L162" s="69">
        <f t="shared" si="10"/>
        <v>81</v>
      </c>
      <c r="M162" s="85">
        <f t="shared" si="11"/>
        <v>0</v>
      </c>
      <c r="N162" s="39">
        <v>161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2:29" ht="17.25" thickTop="1" thickBot="1">
      <c r="B163">
        <f>wyniki!B195</f>
        <v>0</v>
      </c>
      <c r="C163" s="19">
        <f>wyniki!G195</f>
        <v>0</v>
      </c>
      <c r="D163" s="18">
        <v>1.6199999999999999E-3</v>
      </c>
      <c r="E163" s="19">
        <f t="shared" si="8"/>
        <v>1.6199999999999999E-3</v>
      </c>
      <c r="F163">
        <f>wyniki!$A$189</f>
        <v>0</v>
      </c>
      <c r="J163" s="93">
        <f t="shared" si="9"/>
        <v>0</v>
      </c>
      <c r="K163" s="77">
        <f>LARGE($E$2:$E$241,162)</f>
        <v>8.0000000000000004E-4</v>
      </c>
      <c r="L163" s="69">
        <f t="shared" si="10"/>
        <v>80</v>
      </c>
      <c r="M163" s="85">
        <f t="shared" si="11"/>
        <v>0</v>
      </c>
      <c r="N163" s="39">
        <v>162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2:29" ht="17.25" thickTop="1" thickBot="1">
      <c r="B164">
        <f>wyniki!B197</f>
        <v>0</v>
      </c>
      <c r="C164" s="19">
        <f>wyniki!G197</f>
        <v>0</v>
      </c>
      <c r="D164" s="18">
        <v>1.6299999999999999E-3</v>
      </c>
      <c r="E164" s="19">
        <f t="shared" si="8"/>
        <v>1.6299999999999999E-3</v>
      </c>
      <c r="F164">
        <f>wyniki!$A$196</f>
        <v>0</v>
      </c>
      <c r="J164" s="93">
        <f t="shared" si="9"/>
        <v>0</v>
      </c>
      <c r="K164" s="77">
        <f>LARGE($E$2:$E$241,163)</f>
        <v>7.9000000000000001E-4</v>
      </c>
      <c r="L164" s="69">
        <f t="shared" si="10"/>
        <v>79</v>
      </c>
      <c r="M164" s="85">
        <f t="shared" si="11"/>
        <v>0</v>
      </c>
      <c r="N164" s="39">
        <v>163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2:29" ht="17.25" thickTop="1" thickBot="1">
      <c r="B165">
        <f>wyniki!B198</f>
        <v>0</v>
      </c>
      <c r="C165" s="19">
        <f>wyniki!G198</f>
        <v>0</v>
      </c>
      <c r="D165" s="18">
        <v>1.64E-3</v>
      </c>
      <c r="E165" s="19">
        <f t="shared" si="8"/>
        <v>1.64E-3</v>
      </c>
      <c r="F165">
        <f>wyniki!$A$196</f>
        <v>0</v>
      </c>
      <c r="J165" s="93">
        <f t="shared" si="9"/>
        <v>0</v>
      </c>
      <c r="K165" s="77">
        <f>LARGE($E$2:$E$241,164)</f>
        <v>7.7999999999999999E-4</v>
      </c>
      <c r="L165" s="69">
        <f t="shared" si="10"/>
        <v>78</v>
      </c>
      <c r="M165" s="85">
        <f t="shared" si="11"/>
        <v>0</v>
      </c>
      <c r="N165" s="39">
        <v>164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2:29" ht="17.25" thickTop="1" thickBot="1">
      <c r="B166">
        <f>wyniki!B199</f>
        <v>0</v>
      </c>
      <c r="C166" s="19">
        <f>wyniki!G199</f>
        <v>0</v>
      </c>
      <c r="D166" s="18">
        <v>1.65E-3</v>
      </c>
      <c r="E166" s="19">
        <f t="shared" si="8"/>
        <v>1.65E-3</v>
      </c>
      <c r="F166">
        <f>wyniki!$A$196</f>
        <v>0</v>
      </c>
      <c r="J166" s="93">
        <f t="shared" si="9"/>
        <v>0</v>
      </c>
      <c r="K166" s="77">
        <f>LARGE($E$2:$E$241,165)</f>
        <v>7.6999999999999996E-4</v>
      </c>
      <c r="L166" s="69">
        <f t="shared" si="10"/>
        <v>77</v>
      </c>
      <c r="M166" s="85">
        <f t="shared" si="11"/>
        <v>0</v>
      </c>
      <c r="N166" s="39">
        <v>165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2:29" ht="17.25" thickTop="1" thickBot="1">
      <c r="B167">
        <f>wyniki!B200</f>
        <v>0</v>
      </c>
      <c r="C167" s="19">
        <f>wyniki!G200</f>
        <v>0</v>
      </c>
      <c r="D167" s="18">
        <v>1.66E-3</v>
      </c>
      <c r="E167" s="19">
        <f t="shared" si="8"/>
        <v>1.66E-3</v>
      </c>
      <c r="F167">
        <f>wyniki!$A$196</f>
        <v>0</v>
      </c>
      <c r="J167" s="93">
        <f t="shared" si="9"/>
        <v>0</v>
      </c>
      <c r="K167" s="77">
        <f>LARGE($E$2:$E$241,166)</f>
        <v>7.6000000000000004E-4</v>
      </c>
      <c r="L167" s="69">
        <f t="shared" si="10"/>
        <v>76</v>
      </c>
      <c r="M167" s="85">
        <f t="shared" si="11"/>
        <v>0</v>
      </c>
      <c r="N167" s="39">
        <v>166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2:29" ht="17.25" thickTop="1" thickBot="1">
      <c r="B168">
        <f>wyniki!B201</f>
        <v>0</v>
      </c>
      <c r="C168" s="19">
        <f>wyniki!G201</f>
        <v>0</v>
      </c>
      <c r="D168" s="18">
        <v>1.67E-3</v>
      </c>
      <c r="E168" s="19">
        <f t="shared" si="8"/>
        <v>1.67E-3</v>
      </c>
      <c r="F168">
        <f>wyniki!$A$196</f>
        <v>0</v>
      </c>
      <c r="J168" s="93">
        <f t="shared" si="9"/>
        <v>0</v>
      </c>
      <c r="K168" s="77">
        <f>LARGE($E$2:$E$241,167)</f>
        <v>7.5000000000000002E-4</v>
      </c>
      <c r="L168" s="69">
        <f t="shared" si="10"/>
        <v>75</v>
      </c>
      <c r="M168" s="85">
        <f t="shared" si="11"/>
        <v>0</v>
      </c>
      <c r="N168" s="39">
        <v>167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2:29" ht="17.25" thickTop="1" thickBot="1">
      <c r="B169">
        <f>wyniki!B202</f>
        <v>0</v>
      </c>
      <c r="C169" s="19">
        <f>wyniki!G202</f>
        <v>0</v>
      </c>
      <c r="D169" s="18">
        <v>1.6800000000000001E-3</v>
      </c>
      <c r="E169" s="19">
        <f t="shared" si="8"/>
        <v>1.6800000000000001E-3</v>
      </c>
      <c r="F169">
        <f>wyniki!$A$196</f>
        <v>0</v>
      </c>
      <c r="J169" s="93">
        <f t="shared" si="9"/>
        <v>0</v>
      </c>
      <c r="K169" s="77">
        <f>LARGE($E$2:$E$241,168)</f>
        <v>7.3999999999999999E-4</v>
      </c>
      <c r="L169" s="69">
        <f t="shared" si="10"/>
        <v>74</v>
      </c>
      <c r="M169" s="85">
        <f t="shared" si="11"/>
        <v>0</v>
      </c>
      <c r="N169" s="39">
        <v>168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2:29" ht="17.25" thickTop="1" thickBot="1">
      <c r="B170">
        <f>wyniki!B204</f>
        <v>0</v>
      </c>
      <c r="C170" s="19">
        <f>wyniki!G204</f>
        <v>0</v>
      </c>
      <c r="D170" s="18">
        <v>1.6900000000000001E-3</v>
      </c>
      <c r="E170" s="19">
        <f t="shared" si="8"/>
        <v>1.6900000000000001E-3</v>
      </c>
      <c r="F170">
        <f>wyniki!$A$203</f>
        <v>0</v>
      </c>
      <c r="J170" s="93">
        <f t="shared" si="9"/>
        <v>0</v>
      </c>
      <c r="K170" s="77">
        <f>LARGE($E$2:$E$241,169)</f>
        <v>7.2999999999999996E-4</v>
      </c>
      <c r="L170" s="69">
        <f t="shared" si="10"/>
        <v>73</v>
      </c>
      <c r="M170" s="85">
        <f t="shared" si="11"/>
        <v>0</v>
      </c>
      <c r="N170" s="39">
        <v>169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2:29" ht="17.25" thickTop="1" thickBot="1">
      <c r="B171">
        <f>wyniki!B205</f>
        <v>0</v>
      </c>
      <c r="C171" s="19">
        <f>wyniki!G205</f>
        <v>0</v>
      </c>
      <c r="D171" s="18">
        <v>1.6999999999999999E-3</v>
      </c>
      <c r="E171" s="19">
        <f t="shared" si="8"/>
        <v>1.6999999999999999E-3</v>
      </c>
      <c r="F171">
        <f>wyniki!$A$203</f>
        <v>0</v>
      </c>
      <c r="J171" s="93" t="str">
        <f t="shared" si="9"/>
        <v>Żaczek Nikola</v>
      </c>
      <c r="K171" s="77">
        <f>LARGE($E$2:$E$241,170)</f>
        <v>7.2000000000000005E-4</v>
      </c>
      <c r="L171" s="69">
        <f t="shared" si="10"/>
        <v>72</v>
      </c>
      <c r="M171" s="85" t="str">
        <f t="shared" si="11"/>
        <v>ZSP Jedlińsk</v>
      </c>
      <c r="N171" s="39">
        <v>170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2:29" ht="17.25" thickTop="1" thickBot="1">
      <c r="B172">
        <f>wyniki!B206</f>
        <v>0</v>
      </c>
      <c r="C172" s="19">
        <f>wyniki!G206</f>
        <v>0</v>
      </c>
      <c r="D172" s="18">
        <v>1.7099999999999999E-3</v>
      </c>
      <c r="E172" s="19">
        <f t="shared" si="8"/>
        <v>1.7099999999999999E-3</v>
      </c>
      <c r="F172">
        <f>wyniki!$A$203</f>
        <v>0</v>
      </c>
      <c r="J172" s="93" t="str">
        <f t="shared" si="9"/>
        <v>Żaczek Maja</v>
      </c>
      <c r="K172" s="77">
        <f>LARGE($E$2:$E$241,171)</f>
        <v>7.1000000000000002E-4</v>
      </c>
      <c r="L172" s="69">
        <f t="shared" si="10"/>
        <v>71</v>
      </c>
      <c r="M172" s="85" t="str">
        <f t="shared" si="11"/>
        <v>ZSP Jedlińsk</v>
      </c>
      <c r="N172" s="39">
        <v>171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2:29" ht="17.25" thickTop="1" thickBot="1">
      <c r="B173">
        <f>wyniki!B207</f>
        <v>0</v>
      </c>
      <c r="C173" s="19">
        <f>wyniki!G207</f>
        <v>0</v>
      </c>
      <c r="D173" s="18">
        <v>1.72E-3</v>
      </c>
      <c r="E173" s="19">
        <f t="shared" si="8"/>
        <v>1.72E-3</v>
      </c>
      <c r="F173">
        <f>wyniki!$A$203</f>
        <v>0</v>
      </c>
      <c r="J173" s="93" t="str">
        <f t="shared" si="9"/>
        <v>Walczak Łucja</v>
      </c>
      <c r="K173" s="77">
        <f>LARGE($E$2:$E$241,172)</f>
        <v>6.9999999999999999E-4</v>
      </c>
      <c r="L173" s="69">
        <f t="shared" si="10"/>
        <v>70</v>
      </c>
      <c r="M173" s="85" t="str">
        <f t="shared" si="11"/>
        <v>ZSP Jedlińsk</v>
      </c>
      <c r="N173" s="39">
        <v>172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2:29" ht="17.25" thickTop="1" thickBot="1">
      <c r="B174">
        <f>wyniki!B208</f>
        <v>0</v>
      </c>
      <c r="C174" s="19">
        <f>wyniki!G208</f>
        <v>0</v>
      </c>
      <c r="D174" s="18">
        <v>1.73E-3</v>
      </c>
      <c r="E174" s="19">
        <f t="shared" si="8"/>
        <v>1.73E-3</v>
      </c>
      <c r="F174">
        <f>wyniki!$A$203</f>
        <v>0</v>
      </c>
      <c r="J174" s="93" t="str">
        <f t="shared" si="9"/>
        <v>Gryz Amelia</v>
      </c>
      <c r="K174" s="77">
        <f>LARGE($E$2:$E$241,173)</f>
        <v>6.8999999999999997E-4</v>
      </c>
      <c r="L174" s="69">
        <f t="shared" si="10"/>
        <v>69</v>
      </c>
      <c r="M174" s="85" t="str">
        <f t="shared" si="11"/>
        <v>ZSP Jedlińsk</v>
      </c>
      <c r="N174" s="39">
        <v>173</v>
      </c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2:29" ht="17.25" thickTop="1" thickBot="1">
      <c r="B175">
        <f>wyniki!B209</f>
        <v>0</v>
      </c>
      <c r="C175" s="19">
        <f>wyniki!G209</f>
        <v>0</v>
      </c>
      <c r="D175" s="18">
        <v>1.74E-3</v>
      </c>
      <c r="E175" s="19">
        <f t="shared" si="8"/>
        <v>1.74E-3</v>
      </c>
      <c r="F175">
        <f>wyniki!$A$203</f>
        <v>0</v>
      </c>
      <c r="J175" s="93" t="str">
        <f t="shared" si="9"/>
        <v>Dobrowolska Nikola</v>
      </c>
      <c r="K175" s="77">
        <f>LARGE($E$2:$E$241,174)</f>
        <v>6.8000000000000005E-4</v>
      </c>
      <c r="L175" s="69">
        <f t="shared" si="10"/>
        <v>68</v>
      </c>
      <c r="M175" s="85" t="str">
        <f t="shared" si="11"/>
        <v>ZSP Jedlińsk</v>
      </c>
      <c r="N175" s="39">
        <v>174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2:29" ht="17.25" thickTop="1" thickBot="1">
      <c r="B176">
        <f>wyniki!B211</f>
        <v>0</v>
      </c>
      <c r="C176" s="19">
        <f>wyniki!G211</f>
        <v>0</v>
      </c>
      <c r="D176" s="18">
        <v>1.75E-3</v>
      </c>
      <c r="E176" s="19">
        <f t="shared" si="8"/>
        <v>1.75E-3</v>
      </c>
      <c r="F176">
        <f>wyniki!$A$210</f>
        <v>0</v>
      </c>
      <c r="J176" s="93" t="str">
        <f t="shared" si="9"/>
        <v>Adamczyk Michalina</v>
      </c>
      <c r="K176" s="77">
        <f>LARGE($E$2:$E$241,175)</f>
        <v>6.7000000000000002E-4</v>
      </c>
      <c r="L176" s="69">
        <f t="shared" si="10"/>
        <v>67</v>
      </c>
      <c r="M176" s="85" t="str">
        <f t="shared" si="11"/>
        <v>ZSP Jedlińsk</v>
      </c>
      <c r="N176" s="39">
        <v>175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2:29" ht="17.25" thickTop="1" thickBot="1">
      <c r="B177">
        <f>wyniki!B212</f>
        <v>0</v>
      </c>
      <c r="C177" s="19">
        <f>wyniki!G212</f>
        <v>0</v>
      </c>
      <c r="D177" s="18">
        <v>1.7600000000000001E-3</v>
      </c>
      <c r="E177" s="19">
        <f t="shared" si="8"/>
        <v>1.7600000000000001E-3</v>
      </c>
      <c r="F177">
        <f>wyniki!$A$210</f>
        <v>0</v>
      </c>
      <c r="J177" s="93" t="str">
        <f t="shared" si="9"/>
        <v>Wilczyńska Maria</v>
      </c>
      <c r="K177" s="77">
        <f>LARGE($E$2:$E$241,176)</f>
        <v>6.6E-4</v>
      </c>
      <c r="L177" s="69">
        <f t="shared" si="10"/>
        <v>66</v>
      </c>
      <c r="M177" s="85" t="str">
        <f t="shared" si="11"/>
        <v>SP3 Piaseczno</v>
      </c>
      <c r="N177" s="39">
        <v>176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2:29" ht="17.25" thickTop="1" thickBot="1">
      <c r="B178">
        <f>wyniki!B213</f>
        <v>0</v>
      </c>
      <c r="C178" s="19">
        <f>wyniki!G213</f>
        <v>0</v>
      </c>
      <c r="D178" s="18">
        <v>1.7700000000000001E-3</v>
      </c>
      <c r="E178" s="19">
        <f t="shared" si="8"/>
        <v>1.7700000000000001E-3</v>
      </c>
      <c r="F178">
        <f>wyniki!$A$210</f>
        <v>0</v>
      </c>
      <c r="J178" s="93" t="str">
        <f t="shared" si="9"/>
        <v>Szulc Amelia</v>
      </c>
      <c r="K178" s="77">
        <f>LARGE($E$2:$E$241,177)</f>
        <v>6.4999999999999997E-4</v>
      </c>
      <c r="L178" s="69">
        <f t="shared" si="10"/>
        <v>65</v>
      </c>
      <c r="M178" s="85" t="str">
        <f t="shared" si="11"/>
        <v>SP3 Piaseczno</v>
      </c>
      <c r="N178" s="39">
        <v>177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2:29" ht="17.25" thickTop="1" thickBot="1">
      <c r="B179">
        <f>wyniki!B214</f>
        <v>0</v>
      </c>
      <c r="C179" s="19">
        <f>wyniki!G214</f>
        <v>0</v>
      </c>
      <c r="D179" s="18">
        <v>1.7799999999999999E-3</v>
      </c>
      <c r="E179" s="19">
        <f t="shared" si="8"/>
        <v>1.7799999999999999E-3</v>
      </c>
      <c r="F179">
        <f>wyniki!$A$210</f>
        <v>0</v>
      </c>
      <c r="J179" s="93" t="str">
        <f t="shared" si="9"/>
        <v>Spiechowicz Lidia</v>
      </c>
      <c r="K179" s="77">
        <f>LARGE($E$2:$E$241,178)</f>
        <v>6.4000000000000005E-4</v>
      </c>
      <c r="L179" s="69">
        <f t="shared" si="10"/>
        <v>64</v>
      </c>
      <c r="M179" s="85" t="str">
        <f t="shared" si="11"/>
        <v>SP3 Piaseczno</v>
      </c>
      <c r="N179" s="39">
        <v>178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ht="17.25" thickTop="1" thickBot="1">
      <c r="B180">
        <f>wyniki!B215</f>
        <v>0</v>
      </c>
      <c r="C180" s="19">
        <f>wyniki!G215</f>
        <v>0</v>
      </c>
      <c r="D180" s="18">
        <v>1.7899999999999999E-3</v>
      </c>
      <c r="E180" s="19">
        <f t="shared" si="8"/>
        <v>1.7899999999999999E-3</v>
      </c>
      <c r="F180">
        <f>wyniki!$A$210</f>
        <v>0</v>
      </c>
      <c r="J180" s="93" t="str">
        <f t="shared" si="9"/>
        <v>Sołtan Amelia</v>
      </c>
      <c r="K180" s="77">
        <f>LARGE($E$2:$E$241,179)</f>
        <v>6.3000000000000003E-4</v>
      </c>
      <c r="L180" s="69">
        <f t="shared" si="10"/>
        <v>63</v>
      </c>
      <c r="M180" s="85" t="str">
        <f t="shared" si="11"/>
        <v>SP3 Piaseczno</v>
      </c>
      <c r="N180" s="39">
        <v>179</v>
      </c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ht="17.25" thickTop="1" thickBot="1">
      <c r="B181">
        <f>wyniki!B216</f>
        <v>0</v>
      </c>
      <c r="C181" s="19">
        <f>wyniki!G216</f>
        <v>0</v>
      </c>
      <c r="D181" s="18">
        <v>1.8E-3</v>
      </c>
      <c r="E181" s="19">
        <f t="shared" si="8"/>
        <v>1.8E-3</v>
      </c>
      <c r="F181">
        <f>wyniki!$A$210</f>
        <v>0</v>
      </c>
      <c r="J181" s="93" t="str">
        <f t="shared" si="9"/>
        <v>Borysiuk Gaja</v>
      </c>
      <c r="K181" s="77">
        <f>LARGE($E$2:$E$241,180)</f>
        <v>6.2E-4</v>
      </c>
      <c r="L181" s="69">
        <f t="shared" si="10"/>
        <v>62</v>
      </c>
      <c r="M181" s="85" t="str">
        <f t="shared" si="11"/>
        <v>SP3 Piaseczno</v>
      </c>
      <c r="N181" s="39">
        <v>180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ht="17.25" thickTop="1" thickBot="1">
      <c r="B182">
        <f>wyniki!B218</f>
        <v>0</v>
      </c>
      <c r="C182" s="19">
        <f>wyniki!G218</f>
        <v>0</v>
      </c>
      <c r="D182" s="18">
        <v>1.81E-3</v>
      </c>
      <c r="E182" s="19">
        <f t="shared" si="8"/>
        <v>1.81E-3</v>
      </c>
      <c r="F182">
        <f>wyniki!$A$217</f>
        <v>0</v>
      </c>
      <c r="J182" s="93" t="str">
        <f t="shared" si="9"/>
        <v>Bany Monika</v>
      </c>
      <c r="K182" s="77">
        <f>LARGE($E$2:$E$241,181)</f>
        <v>6.0999999999999997E-4</v>
      </c>
      <c r="L182" s="69">
        <f t="shared" si="10"/>
        <v>61</v>
      </c>
      <c r="M182" s="85" t="str">
        <f t="shared" si="11"/>
        <v>SP3 Piaseczno</v>
      </c>
      <c r="N182" s="39">
        <v>181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ht="17.25" thickTop="1" thickBot="1">
      <c r="B183">
        <f>wyniki!B219</f>
        <v>0</v>
      </c>
      <c r="C183" s="19">
        <f>wyniki!G219</f>
        <v>0</v>
      </c>
      <c r="D183" s="18">
        <v>1.82E-3</v>
      </c>
      <c r="E183" s="19">
        <f t="shared" si="8"/>
        <v>1.82E-3</v>
      </c>
      <c r="F183">
        <f>wyniki!$A$217</f>
        <v>0</v>
      </c>
      <c r="J183" s="93" t="str">
        <f t="shared" si="9"/>
        <v>Szablewska Lena</v>
      </c>
      <c r="K183" s="77">
        <f>LARGE($E$2:$E$241,182)</f>
        <v>5.9999999999999995E-4</v>
      </c>
      <c r="L183" s="69">
        <f t="shared" si="10"/>
        <v>60</v>
      </c>
      <c r="M183" s="85" t="str">
        <f t="shared" si="11"/>
        <v>ZSP Lesznowola</v>
      </c>
      <c r="N183" s="39">
        <v>182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ht="17.25" thickTop="1" thickBot="1">
      <c r="B184">
        <f>wyniki!B220</f>
        <v>0</v>
      </c>
      <c r="C184" s="19">
        <f>wyniki!G220</f>
        <v>0</v>
      </c>
      <c r="D184" s="18">
        <v>1.83E-3</v>
      </c>
      <c r="E184" s="19">
        <f t="shared" si="8"/>
        <v>1.83E-3</v>
      </c>
      <c r="F184">
        <f>wyniki!$A$217</f>
        <v>0</v>
      </c>
      <c r="J184" s="93" t="str">
        <f t="shared" si="9"/>
        <v>Przepiórka Julia</v>
      </c>
      <c r="K184" s="77">
        <f>LARGE($E$2:$E$241,183)</f>
        <v>5.9000000000000003E-4</v>
      </c>
      <c r="L184" s="69">
        <f t="shared" si="10"/>
        <v>59</v>
      </c>
      <c r="M184" s="85" t="str">
        <f t="shared" si="11"/>
        <v>ZSP Lesznowola</v>
      </c>
      <c r="N184" s="39">
        <v>183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ht="17.25" thickTop="1" thickBot="1">
      <c r="B185">
        <f>wyniki!B221</f>
        <v>0</v>
      </c>
      <c r="C185" s="19">
        <f>wyniki!G221</f>
        <v>0</v>
      </c>
      <c r="D185" s="18">
        <v>1.8400000000000001E-3</v>
      </c>
      <c r="E185" s="19">
        <f t="shared" si="8"/>
        <v>1.8400000000000001E-3</v>
      </c>
      <c r="F185">
        <f>wyniki!$A$217</f>
        <v>0</v>
      </c>
      <c r="J185" s="93" t="str">
        <f t="shared" si="9"/>
        <v>Pazio Zofia</v>
      </c>
      <c r="K185" s="77">
        <f>LARGE($E$2:$E$241,184)</f>
        <v>5.8E-4</v>
      </c>
      <c r="L185" s="69">
        <f t="shared" si="10"/>
        <v>58</v>
      </c>
      <c r="M185" s="85" t="str">
        <f t="shared" si="11"/>
        <v>ZSP Lesznowola</v>
      </c>
      <c r="N185" s="39">
        <v>184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ht="17.25" thickTop="1" thickBot="1">
      <c r="B186">
        <f>wyniki!B222</f>
        <v>0</v>
      </c>
      <c r="C186" s="19">
        <f>wyniki!G222</f>
        <v>0</v>
      </c>
      <c r="D186" s="18">
        <v>1.8500000000000001E-3</v>
      </c>
      <c r="E186" s="19">
        <f t="shared" si="8"/>
        <v>1.8500000000000001E-3</v>
      </c>
      <c r="F186">
        <f>wyniki!$A$217</f>
        <v>0</v>
      </c>
      <c r="J186" s="93" t="str">
        <f t="shared" si="9"/>
        <v>Mariańska Magdalena</v>
      </c>
      <c r="K186" s="77">
        <f>LARGE($E$2:$E$241,185)</f>
        <v>5.6999999999999998E-4</v>
      </c>
      <c r="L186" s="69">
        <f t="shared" si="10"/>
        <v>57</v>
      </c>
      <c r="M186" s="85" t="str">
        <f t="shared" si="11"/>
        <v>ZSP Lesznowola</v>
      </c>
      <c r="N186" s="39">
        <v>185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29" ht="17.25" thickTop="1" thickBot="1">
      <c r="B187">
        <f>wyniki!B223</f>
        <v>0</v>
      </c>
      <c r="C187" s="19">
        <f>wyniki!G223</f>
        <v>0</v>
      </c>
      <c r="D187" s="18">
        <v>1.8600000000000001E-3</v>
      </c>
      <c r="E187" s="19">
        <f t="shared" si="8"/>
        <v>1.8600000000000001E-3</v>
      </c>
      <c r="F187">
        <f>wyniki!$A$217</f>
        <v>0</v>
      </c>
      <c r="J187" s="93" t="str">
        <f t="shared" si="9"/>
        <v>Marcisz Anna</v>
      </c>
      <c r="K187" s="77">
        <f>LARGE($E$2:$E$241,186)</f>
        <v>5.5999999999999995E-4</v>
      </c>
      <c r="L187" s="69">
        <f t="shared" si="10"/>
        <v>56</v>
      </c>
      <c r="M187" s="85" t="str">
        <f t="shared" si="11"/>
        <v>ZSP Lesznowola</v>
      </c>
      <c r="N187" s="39">
        <v>186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</row>
    <row r="188" spans="2:29" ht="17.25" thickTop="1" thickBot="1">
      <c r="B188">
        <f>wyniki!B225</f>
        <v>0</v>
      </c>
      <c r="C188" s="19">
        <f>wyniki!G225</f>
        <v>0</v>
      </c>
      <c r="D188" s="18">
        <v>1.8699999999999999E-3</v>
      </c>
      <c r="E188" s="19">
        <f t="shared" si="8"/>
        <v>1.8699999999999999E-3</v>
      </c>
      <c r="F188">
        <f>wyniki!$A$224</f>
        <v>0</v>
      </c>
      <c r="J188" s="93" t="str">
        <f t="shared" si="9"/>
        <v>Brzezińska Kinga</v>
      </c>
      <c r="K188" s="77">
        <f>LARGE($E$2:$E$241,187)</f>
        <v>5.5000000000000003E-4</v>
      </c>
      <c r="L188" s="69">
        <f t="shared" si="10"/>
        <v>55</v>
      </c>
      <c r="M188" s="85" t="str">
        <f t="shared" si="11"/>
        <v>ZSP Lesznowola</v>
      </c>
      <c r="N188" s="39">
        <v>187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</row>
    <row r="189" spans="2:29" ht="17.25" thickTop="1" thickBot="1">
      <c r="B189">
        <f>wyniki!B226</f>
        <v>0</v>
      </c>
      <c r="C189" s="19">
        <f>wyniki!G226</f>
        <v>0</v>
      </c>
      <c r="D189" s="18">
        <v>1.8799999999999999E-3</v>
      </c>
      <c r="E189" s="19">
        <f t="shared" si="8"/>
        <v>1.8799999999999999E-3</v>
      </c>
      <c r="F189">
        <f>wyniki!$A$224</f>
        <v>0</v>
      </c>
      <c r="J189" s="93" t="str">
        <f t="shared" si="9"/>
        <v>Tryzno Alicja</v>
      </c>
      <c r="K189" s="77">
        <f>LARGE($E$2:$E$241,188)</f>
        <v>5.4000000000000001E-4</v>
      </c>
      <c r="L189" s="69">
        <f t="shared" si="10"/>
        <v>54</v>
      </c>
      <c r="M189" s="85" t="str">
        <f t="shared" si="11"/>
        <v>SP Podkowa Leśna</v>
      </c>
      <c r="N189" s="39">
        <v>188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2:29" ht="17.25" thickTop="1" thickBot="1">
      <c r="B190">
        <f>wyniki!B227</f>
        <v>0</v>
      </c>
      <c r="C190" s="19">
        <f>wyniki!G227</f>
        <v>0</v>
      </c>
      <c r="D190" s="18">
        <v>1.89E-3</v>
      </c>
      <c r="E190" s="19">
        <f t="shared" si="8"/>
        <v>1.89E-3</v>
      </c>
      <c r="F190">
        <f>wyniki!$A$224</f>
        <v>0</v>
      </c>
      <c r="J190" s="93" t="str">
        <f t="shared" si="9"/>
        <v>Macutkiewicz Wiktoria</v>
      </c>
      <c r="K190" s="77">
        <f>LARGE($E$2:$E$241,189)</f>
        <v>5.2999999999999998E-4</v>
      </c>
      <c r="L190" s="69">
        <f t="shared" si="10"/>
        <v>53</v>
      </c>
      <c r="M190" s="85" t="str">
        <f t="shared" si="11"/>
        <v>SP Podkowa Leśna</v>
      </c>
      <c r="N190" s="39">
        <v>189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</row>
    <row r="191" spans="2:29" ht="17.25" thickTop="1" thickBot="1">
      <c r="B191">
        <f>wyniki!B228</f>
        <v>0</v>
      </c>
      <c r="C191" s="19">
        <f>wyniki!G228</f>
        <v>0</v>
      </c>
      <c r="D191" s="18">
        <v>1.9E-3</v>
      </c>
      <c r="E191" s="19">
        <f t="shared" si="8"/>
        <v>1.9E-3</v>
      </c>
      <c r="F191">
        <f>wyniki!$A$224</f>
        <v>0</v>
      </c>
      <c r="J191" s="93" t="str">
        <f t="shared" si="9"/>
        <v>Krutkowska Amelia</v>
      </c>
      <c r="K191" s="77">
        <f>LARGE($E$2:$E$241,190)</f>
        <v>5.1999999999999995E-4</v>
      </c>
      <c r="L191" s="69">
        <f t="shared" si="10"/>
        <v>52</v>
      </c>
      <c r="M191" s="85" t="str">
        <f t="shared" si="11"/>
        <v>SP Podkowa Leśna</v>
      </c>
      <c r="N191" s="39">
        <v>190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</row>
    <row r="192" spans="2:29" ht="17.25" thickTop="1" thickBot="1">
      <c r="B192">
        <f>wyniki!B229</f>
        <v>0</v>
      </c>
      <c r="C192" s="19">
        <f>wyniki!G229</f>
        <v>0</v>
      </c>
      <c r="D192" s="18">
        <v>1.91E-3</v>
      </c>
      <c r="E192" s="19">
        <f t="shared" si="8"/>
        <v>1.91E-3</v>
      </c>
      <c r="F192">
        <f>wyniki!$A$224</f>
        <v>0</v>
      </c>
      <c r="J192" s="93" t="str">
        <f t="shared" si="9"/>
        <v>Kolenda Zofia</v>
      </c>
      <c r="K192" s="77">
        <f>LARGE($E$2:$E$241,191)</f>
        <v>5.1000000000000004E-4</v>
      </c>
      <c r="L192" s="69">
        <f t="shared" si="10"/>
        <v>51</v>
      </c>
      <c r="M192" s="85" t="str">
        <f t="shared" si="11"/>
        <v>SP Podkowa Leśna</v>
      </c>
      <c r="N192" s="39">
        <v>191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</row>
    <row r="193" spans="2:29" ht="17.25" thickTop="1" thickBot="1">
      <c r="B193">
        <f>wyniki!B230</f>
        <v>0</v>
      </c>
      <c r="C193" s="19">
        <f>wyniki!G230</f>
        <v>0</v>
      </c>
      <c r="D193" s="18">
        <v>1.92E-3</v>
      </c>
      <c r="E193" s="19">
        <f t="shared" si="8"/>
        <v>1.92E-3</v>
      </c>
      <c r="F193">
        <f>wyniki!$A$224</f>
        <v>0</v>
      </c>
      <c r="J193" s="93" t="str">
        <f t="shared" si="9"/>
        <v>Hajdenrach Antonina</v>
      </c>
      <c r="K193" s="77">
        <f>LARGE($E$2:$E$241,192)</f>
        <v>5.0000000000000001E-4</v>
      </c>
      <c r="L193" s="69">
        <f t="shared" si="10"/>
        <v>50</v>
      </c>
      <c r="M193" s="85" t="str">
        <f t="shared" si="11"/>
        <v>SP Podkowa Leśna</v>
      </c>
      <c r="N193" s="39">
        <v>192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</row>
    <row r="194" spans="2:29" ht="17.25" thickTop="1" thickBot="1">
      <c r="B194">
        <f>wyniki!B232</f>
        <v>0</v>
      </c>
      <c r="C194" s="19">
        <f>wyniki!G232</f>
        <v>0</v>
      </c>
      <c r="D194" s="18">
        <v>1.9300000000000001E-3</v>
      </c>
      <c r="E194" s="19">
        <f t="shared" si="8"/>
        <v>1.9300000000000001E-3</v>
      </c>
      <c r="F194">
        <f>wyniki!$A$231</f>
        <v>0</v>
      </c>
      <c r="J194" s="93" t="str">
        <f t="shared" si="9"/>
        <v>Bąbiak Gabriela</v>
      </c>
      <c r="K194" s="77">
        <f>LARGE($E$2:$E$241,193)</f>
        <v>4.8999999999999998E-4</v>
      </c>
      <c r="L194" s="69">
        <f t="shared" si="10"/>
        <v>49</v>
      </c>
      <c r="M194" s="85" t="str">
        <f t="shared" si="11"/>
        <v>SP Podkowa Leśna</v>
      </c>
      <c r="N194" s="39">
        <v>193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</row>
    <row r="195" spans="2:29" ht="17.25" thickTop="1" thickBot="1">
      <c r="B195">
        <f>wyniki!B233</f>
        <v>0</v>
      </c>
      <c r="C195" s="19">
        <f>wyniki!G233</f>
        <v>0</v>
      </c>
      <c r="D195" s="18">
        <v>1.9400000000000001E-3</v>
      </c>
      <c r="E195" s="19">
        <f t="shared" ref="E195:E241" si="12">C195+D195</f>
        <v>1.9400000000000001E-3</v>
      </c>
      <c r="F195">
        <f>wyniki!$A$231</f>
        <v>0</v>
      </c>
      <c r="J195" s="93" t="str">
        <f t="shared" ref="J195:J241" si="13">INDEX($B$2:$E$241,L195,1)</f>
        <v>Rytel Emilia</v>
      </c>
      <c r="K195" s="77">
        <f>LARGE($E$2:$E$241,194)</f>
        <v>4.8000000000000001E-4</v>
      </c>
      <c r="L195" s="69">
        <f t="shared" ref="L195:L241" si="14">MATCH(K195,$E$2:$E$241,0)</f>
        <v>48</v>
      </c>
      <c r="M195" s="85" t="str">
        <f t="shared" ref="M195:M241" si="15">INDEX($E$2:$F$241,L195,2)</f>
        <v>SP11 Siedlce</v>
      </c>
      <c r="N195" s="39">
        <v>194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</row>
    <row r="196" spans="2:29" ht="17.25" thickTop="1" thickBot="1">
      <c r="B196">
        <f>wyniki!B234</f>
        <v>0</v>
      </c>
      <c r="C196" s="19">
        <f>wyniki!G234</f>
        <v>0</v>
      </c>
      <c r="D196" s="18">
        <v>1.9499999999999999E-3</v>
      </c>
      <c r="E196" s="19">
        <f t="shared" si="12"/>
        <v>1.9499999999999999E-3</v>
      </c>
      <c r="F196">
        <f>wyniki!$A$231</f>
        <v>0</v>
      </c>
      <c r="J196" s="93" t="str">
        <f t="shared" si="13"/>
        <v>Niedziółka Weronika</v>
      </c>
      <c r="K196" s="77">
        <f>LARGE($E$2:$E$241,195)</f>
        <v>4.6999999999999999E-4</v>
      </c>
      <c r="L196" s="69">
        <f t="shared" si="14"/>
        <v>47</v>
      </c>
      <c r="M196" s="85" t="str">
        <f t="shared" si="15"/>
        <v>SP11 Siedlce</v>
      </c>
      <c r="N196" s="39">
        <v>195</v>
      </c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</row>
    <row r="197" spans="2:29" ht="17.25" thickTop="1" thickBot="1">
      <c r="B197">
        <f>wyniki!B235</f>
        <v>0</v>
      </c>
      <c r="C197" s="19">
        <f>wyniki!G235</f>
        <v>0</v>
      </c>
      <c r="D197" s="18">
        <v>1.9599999999999999E-3</v>
      </c>
      <c r="E197" s="19">
        <f t="shared" si="12"/>
        <v>1.9599999999999999E-3</v>
      </c>
      <c r="F197">
        <f>wyniki!$A$231</f>
        <v>0</v>
      </c>
      <c r="J197" s="93" t="str">
        <f t="shared" si="13"/>
        <v>Mościcka Gabriela</v>
      </c>
      <c r="K197" s="77">
        <f>LARGE($E$2:$E$241,196)</f>
        <v>4.6000000000000001E-4</v>
      </c>
      <c r="L197" s="69">
        <f t="shared" si="14"/>
        <v>46</v>
      </c>
      <c r="M197" s="85" t="str">
        <f t="shared" si="15"/>
        <v>SP11 Siedlce</v>
      </c>
      <c r="N197" s="39">
        <v>196</v>
      </c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</row>
    <row r="198" spans="2:29" ht="17.25" thickTop="1" thickBot="1">
      <c r="B198">
        <f>wyniki!B236</f>
        <v>0</v>
      </c>
      <c r="C198" s="19">
        <f>wyniki!G236</f>
        <v>0</v>
      </c>
      <c r="D198" s="18">
        <v>1.97E-3</v>
      </c>
      <c r="E198" s="19">
        <f t="shared" si="12"/>
        <v>1.97E-3</v>
      </c>
      <c r="F198">
        <f>wyniki!$A$231</f>
        <v>0</v>
      </c>
      <c r="J198" s="93" t="str">
        <f t="shared" si="13"/>
        <v>Kowal Natalia</v>
      </c>
      <c r="K198" s="77">
        <f>LARGE($E$2:$E$241,197)</f>
        <v>4.4999999999999999E-4</v>
      </c>
      <c r="L198" s="69">
        <f t="shared" si="14"/>
        <v>45</v>
      </c>
      <c r="M198" s="85" t="str">
        <f t="shared" si="15"/>
        <v>SP11 Siedlce</v>
      </c>
      <c r="N198" s="39">
        <v>197</v>
      </c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</row>
    <row r="199" spans="2:29" ht="17.25" thickTop="1" thickBot="1">
      <c r="B199">
        <f>wyniki!B237</f>
        <v>0</v>
      </c>
      <c r="C199" s="19">
        <f>wyniki!G237</f>
        <v>0</v>
      </c>
      <c r="D199" s="18">
        <v>1.98E-3</v>
      </c>
      <c r="E199" s="19">
        <f t="shared" si="12"/>
        <v>1.98E-3</v>
      </c>
      <c r="F199">
        <f>wyniki!$A$231</f>
        <v>0</v>
      </c>
      <c r="J199" s="93" t="str">
        <f t="shared" si="13"/>
        <v>Fiuk Julia</v>
      </c>
      <c r="K199" s="77">
        <f>LARGE($E$2:$E$241,198)</f>
        <v>4.4000000000000002E-4</v>
      </c>
      <c r="L199" s="69">
        <f t="shared" si="14"/>
        <v>44</v>
      </c>
      <c r="M199" s="85" t="str">
        <f t="shared" si="15"/>
        <v>SP11 Siedlce</v>
      </c>
      <c r="N199" s="39">
        <v>198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</row>
    <row r="200" spans="2:29" ht="17.25" thickTop="1" thickBot="1">
      <c r="B200">
        <f>wyniki!B239</f>
        <v>0</v>
      </c>
      <c r="C200" s="19">
        <f>wyniki!G239</f>
        <v>0</v>
      </c>
      <c r="D200" s="18">
        <v>1.99E-3</v>
      </c>
      <c r="E200" s="19">
        <f t="shared" si="12"/>
        <v>1.99E-3</v>
      </c>
      <c r="F200">
        <f>wyniki!$A$238</f>
        <v>0</v>
      </c>
      <c r="J200" s="93" t="str">
        <f t="shared" si="13"/>
        <v>Chromińska Maja</v>
      </c>
      <c r="K200" s="77">
        <f>LARGE($E$2:$E$241,199)</f>
        <v>4.2999999999999999E-4</v>
      </c>
      <c r="L200" s="69">
        <f t="shared" si="14"/>
        <v>43</v>
      </c>
      <c r="M200" s="85" t="str">
        <f t="shared" si="15"/>
        <v>SP11 Siedlce</v>
      </c>
      <c r="N200" s="39">
        <v>199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</row>
    <row r="201" spans="2:29" ht="17.25" thickTop="1" thickBot="1">
      <c r="B201">
        <f>wyniki!B240</f>
        <v>0</v>
      </c>
      <c r="C201" s="19">
        <f>wyniki!G240</f>
        <v>0</v>
      </c>
      <c r="D201" s="18">
        <v>2E-3</v>
      </c>
      <c r="E201" s="19">
        <f t="shared" si="12"/>
        <v>2E-3</v>
      </c>
      <c r="F201">
        <f>wyniki!$A$238</f>
        <v>0</v>
      </c>
      <c r="J201" s="93" t="str">
        <f t="shared" si="13"/>
        <v>Kmieć Zuzanna</v>
      </c>
      <c r="K201" s="77">
        <f>LARGE($E$2:$E$241,200)</f>
        <v>4.2000000000000002E-4</v>
      </c>
      <c r="L201" s="69">
        <f t="shared" si="14"/>
        <v>42</v>
      </c>
      <c r="M201" s="85" t="str">
        <f t="shared" si="15"/>
        <v>SP2 Węgrów</v>
      </c>
      <c r="N201" s="39">
        <v>200</v>
      </c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</row>
    <row r="202" spans="2:29" ht="17.25" thickTop="1" thickBot="1">
      <c r="B202">
        <f>wyniki!B241</f>
        <v>0</v>
      </c>
      <c r="C202" s="19">
        <f>wyniki!G241</f>
        <v>0</v>
      </c>
      <c r="D202" s="18">
        <v>2.0100000000000001E-3</v>
      </c>
      <c r="E202" s="19">
        <f t="shared" si="12"/>
        <v>2.0100000000000001E-3</v>
      </c>
      <c r="F202">
        <f>wyniki!$A$238</f>
        <v>0</v>
      </c>
      <c r="J202" s="93" t="str">
        <f t="shared" si="13"/>
        <v>Wrzeszcz Anna</v>
      </c>
      <c r="K202" s="77">
        <f>LARGE($E$2:$E$241,201)</f>
        <v>4.0999999999999999E-4</v>
      </c>
      <c r="L202" s="69">
        <f t="shared" si="14"/>
        <v>41</v>
      </c>
      <c r="M202" s="85" t="str">
        <f t="shared" si="15"/>
        <v>SP2 Węgrów</v>
      </c>
      <c r="N202" s="39">
        <v>201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</row>
    <row r="203" spans="2:29" ht="17.25" thickTop="1" thickBot="1">
      <c r="B203">
        <f>wyniki!B242</f>
        <v>0</v>
      </c>
      <c r="C203" s="19">
        <f>wyniki!G242</f>
        <v>0</v>
      </c>
      <c r="D203" s="18">
        <v>2.0200000000000001E-3</v>
      </c>
      <c r="E203" s="19">
        <f t="shared" si="12"/>
        <v>2.0200000000000001E-3</v>
      </c>
      <c r="F203">
        <f>wyniki!$A$238</f>
        <v>0</v>
      </c>
      <c r="J203" s="93" t="str">
        <f t="shared" si="13"/>
        <v>Wąsożnik Zofia</v>
      </c>
      <c r="K203" s="77">
        <f>LARGE($E$2:$E$241,202)</f>
        <v>4.0000000000000002E-4</v>
      </c>
      <c r="L203" s="69">
        <f t="shared" si="14"/>
        <v>40</v>
      </c>
      <c r="M203" s="85" t="str">
        <f t="shared" si="15"/>
        <v>SP2 Węgrów</v>
      </c>
      <c r="N203" s="39">
        <v>202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</row>
    <row r="204" spans="2:29" ht="17.25" thickTop="1" thickBot="1">
      <c r="B204">
        <f>wyniki!B243</f>
        <v>0</v>
      </c>
      <c r="C204" s="19">
        <f>wyniki!G243</f>
        <v>0</v>
      </c>
      <c r="D204" s="18">
        <v>2.0300000000000001E-3</v>
      </c>
      <c r="E204" s="19">
        <f t="shared" si="12"/>
        <v>2.0300000000000001E-3</v>
      </c>
      <c r="F204">
        <f>wyniki!$A$238</f>
        <v>0</v>
      </c>
      <c r="J204" s="93" t="str">
        <f t="shared" si="13"/>
        <v>Mikołajewska Iga</v>
      </c>
      <c r="K204" s="77">
        <f>LARGE($E$2:$E$241,203)</f>
        <v>3.8999999999999999E-4</v>
      </c>
      <c r="L204" s="69">
        <f t="shared" si="14"/>
        <v>39</v>
      </c>
      <c r="M204" s="85" t="str">
        <f t="shared" si="15"/>
        <v>SP2 Węgrów</v>
      </c>
      <c r="N204" s="39">
        <v>203</v>
      </c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</row>
    <row r="205" spans="2:29" ht="17.25" thickTop="1" thickBot="1">
      <c r="B205">
        <f>wyniki!B244</f>
        <v>0</v>
      </c>
      <c r="C205" s="19">
        <f>wyniki!G244</f>
        <v>0</v>
      </c>
      <c r="D205" s="18">
        <v>2.0400000000000001E-3</v>
      </c>
      <c r="E205" s="19">
        <f t="shared" si="12"/>
        <v>2.0400000000000001E-3</v>
      </c>
      <c r="F205">
        <f>wyniki!$A$238</f>
        <v>0</v>
      </c>
      <c r="J205" s="93" t="str">
        <f t="shared" si="13"/>
        <v>Jachowicz Roksana</v>
      </c>
      <c r="K205" s="77">
        <f>LARGE($E$2:$E$241,204)</f>
        <v>3.8000000000000002E-4</v>
      </c>
      <c r="L205" s="69">
        <f t="shared" si="14"/>
        <v>38</v>
      </c>
      <c r="M205" s="85" t="str">
        <f t="shared" si="15"/>
        <v>SP2 Węgrów</v>
      </c>
      <c r="N205" s="39">
        <v>204</v>
      </c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</row>
    <row r="206" spans="2:29" ht="17.25" thickTop="1" thickBot="1">
      <c r="B206">
        <f>wyniki!B246</f>
        <v>0</v>
      </c>
      <c r="C206" s="19">
        <f>wyniki!G246</f>
        <v>0</v>
      </c>
      <c r="D206" s="18">
        <v>2.0500000000000002E-3</v>
      </c>
      <c r="E206" s="19">
        <f t="shared" si="12"/>
        <v>2.0500000000000002E-3</v>
      </c>
      <c r="F206">
        <f>wyniki!$A$245</f>
        <v>0</v>
      </c>
      <c r="J206" s="93" t="str">
        <f t="shared" si="13"/>
        <v>Zabadała Aleksandra</v>
      </c>
      <c r="K206" s="77">
        <f>LARGE($E$2:$E$241,205)</f>
        <v>3.6999999999999999E-4</v>
      </c>
      <c r="L206" s="69">
        <f t="shared" si="14"/>
        <v>37</v>
      </c>
      <c r="M206" s="85" t="str">
        <f t="shared" si="15"/>
        <v>SP2 Węgrów</v>
      </c>
      <c r="N206" s="39">
        <v>205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</row>
    <row r="207" spans="2:29" ht="17.25" thickTop="1" thickBot="1">
      <c r="B207">
        <f>wyniki!B247</f>
        <v>0</v>
      </c>
      <c r="C207" s="19">
        <f>wyniki!G247</f>
        <v>0</v>
      </c>
      <c r="D207" s="18">
        <v>2.0600000000000002E-3</v>
      </c>
      <c r="E207" s="19">
        <f t="shared" si="12"/>
        <v>2.0600000000000002E-3</v>
      </c>
      <c r="F207">
        <f>wyniki!$A$245</f>
        <v>0</v>
      </c>
      <c r="J207" s="93" t="str">
        <f t="shared" si="13"/>
        <v>Zasowska Zofia</v>
      </c>
      <c r="K207" s="77">
        <f>LARGE($E$2:$E$241,206)</f>
        <v>3.6000000000000002E-4</v>
      </c>
      <c r="L207" s="69">
        <f t="shared" si="14"/>
        <v>36</v>
      </c>
      <c r="M207" s="85" t="str">
        <f t="shared" si="15"/>
        <v>SP Bieniewice</v>
      </c>
      <c r="N207" s="39">
        <v>206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</row>
    <row r="208" spans="2:29" ht="17.25" thickTop="1" thickBot="1">
      <c r="B208">
        <f>wyniki!B248</f>
        <v>0</v>
      </c>
      <c r="C208" s="19">
        <f>wyniki!G248</f>
        <v>0</v>
      </c>
      <c r="D208" s="18">
        <v>2.0699999999999998E-3</v>
      </c>
      <c r="E208" s="19">
        <f t="shared" si="12"/>
        <v>2.0699999999999998E-3</v>
      </c>
      <c r="F208">
        <f>wyniki!$A$245</f>
        <v>0</v>
      </c>
      <c r="J208" s="93" t="str">
        <f t="shared" si="13"/>
        <v>Wolska Julia</v>
      </c>
      <c r="K208" s="77">
        <f>LARGE($E$2:$E$241,207)</f>
        <v>3.5E-4</v>
      </c>
      <c r="L208" s="69">
        <f t="shared" si="14"/>
        <v>35</v>
      </c>
      <c r="M208" s="85" t="str">
        <f t="shared" si="15"/>
        <v>SP Bieniewice</v>
      </c>
      <c r="N208" s="39">
        <v>207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</row>
    <row r="209" spans="2:29" ht="17.25" thickTop="1" thickBot="1">
      <c r="B209">
        <f>wyniki!B249</f>
        <v>0</v>
      </c>
      <c r="C209" s="19">
        <f>wyniki!G249</f>
        <v>0</v>
      </c>
      <c r="D209" s="18">
        <v>2.0799999999999998E-3</v>
      </c>
      <c r="E209" s="19">
        <f t="shared" si="12"/>
        <v>2.0799999999999998E-3</v>
      </c>
      <c r="F209">
        <f>wyniki!$A$245</f>
        <v>0</v>
      </c>
      <c r="J209" s="93" t="str">
        <f t="shared" si="13"/>
        <v>Wachowiak Maja</v>
      </c>
      <c r="K209" s="77">
        <f>LARGE($E$2:$E$241,208)</f>
        <v>3.4000000000000002E-4</v>
      </c>
      <c r="L209" s="69">
        <f t="shared" si="14"/>
        <v>34</v>
      </c>
      <c r="M209" s="85" t="str">
        <f t="shared" si="15"/>
        <v>SP Bieniewice</v>
      </c>
      <c r="N209" s="39">
        <v>208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</row>
    <row r="210" spans="2:29" ht="17.25" thickTop="1" thickBot="1">
      <c r="B210">
        <f>wyniki!B250</f>
        <v>0</v>
      </c>
      <c r="C210" s="19">
        <f>wyniki!G250</f>
        <v>0</v>
      </c>
      <c r="D210" s="18">
        <v>2.0899999999999998E-3</v>
      </c>
      <c r="E210" s="19">
        <f t="shared" si="12"/>
        <v>2.0899999999999998E-3</v>
      </c>
      <c r="F210">
        <f>wyniki!$A$245</f>
        <v>0</v>
      </c>
      <c r="J210" s="93" t="str">
        <f t="shared" si="13"/>
        <v>Obrębska Maja</v>
      </c>
      <c r="K210" s="77">
        <f>LARGE($E$2:$E$241,209)</f>
        <v>3.3E-4</v>
      </c>
      <c r="L210" s="69">
        <f t="shared" si="14"/>
        <v>33</v>
      </c>
      <c r="M210" s="85" t="str">
        <f t="shared" si="15"/>
        <v>SP Bieniewice</v>
      </c>
      <c r="N210" s="39">
        <v>209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</row>
    <row r="211" spans="2:29" ht="17.25" thickTop="1" thickBot="1">
      <c r="B211">
        <f>wyniki!B251</f>
        <v>0</v>
      </c>
      <c r="C211" s="19">
        <f>wyniki!G251</f>
        <v>0</v>
      </c>
      <c r="D211" s="18">
        <v>2.0999999999999999E-3</v>
      </c>
      <c r="E211" s="19">
        <f t="shared" si="12"/>
        <v>2.0999999999999999E-3</v>
      </c>
      <c r="F211">
        <f>wyniki!$A$245</f>
        <v>0</v>
      </c>
      <c r="J211" s="93" t="str">
        <f t="shared" si="13"/>
        <v>Krzycka Joanna</v>
      </c>
      <c r="K211" s="77">
        <f>LARGE($E$2:$E$241,210)</f>
        <v>3.2000000000000003E-4</v>
      </c>
      <c r="L211" s="69">
        <f t="shared" si="14"/>
        <v>32</v>
      </c>
      <c r="M211" s="85" t="str">
        <f t="shared" si="15"/>
        <v>SP Bieniewice</v>
      </c>
      <c r="N211" s="39">
        <v>210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</row>
    <row r="212" spans="2:29" ht="17.25" thickTop="1" thickBot="1">
      <c r="B212">
        <f>wyniki!B253</f>
        <v>0</v>
      </c>
      <c r="C212" s="19">
        <f>wyniki!G253</f>
        <v>0</v>
      </c>
      <c r="D212" s="18">
        <v>2.1099999999999999E-3</v>
      </c>
      <c r="E212" s="19">
        <f t="shared" si="12"/>
        <v>2.1099999999999999E-3</v>
      </c>
      <c r="F212">
        <f>wyniki!$A$252</f>
        <v>0</v>
      </c>
      <c r="J212" s="93" t="str">
        <f t="shared" si="13"/>
        <v>Borys Paulina</v>
      </c>
      <c r="K212" s="77">
        <f>LARGE($E$2:$E$241,211)</f>
        <v>3.1E-4</v>
      </c>
      <c r="L212" s="69">
        <f t="shared" si="14"/>
        <v>31</v>
      </c>
      <c r="M212" s="85" t="str">
        <f t="shared" si="15"/>
        <v>SP Bieniewice</v>
      </c>
      <c r="N212" s="39">
        <v>211</v>
      </c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</row>
    <row r="213" spans="2:29" ht="17.25" thickTop="1" thickBot="1">
      <c r="B213">
        <f>wyniki!B254</f>
        <v>0</v>
      </c>
      <c r="C213" s="19">
        <f>wyniki!G254</f>
        <v>0</v>
      </c>
      <c r="D213" s="18">
        <v>2.1199999999999999E-3</v>
      </c>
      <c r="E213" s="19">
        <f t="shared" si="12"/>
        <v>2.1199999999999999E-3</v>
      </c>
      <c r="F213">
        <f>wyniki!$A$252</f>
        <v>0</v>
      </c>
      <c r="J213" s="93" t="str">
        <f t="shared" si="13"/>
        <v>Woźniak Maja</v>
      </c>
      <c r="K213" s="77">
        <f>LARGE($E$2:$E$241,212)</f>
        <v>2.9999999999999997E-4</v>
      </c>
      <c r="L213" s="69">
        <f t="shared" si="14"/>
        <v>30</v>
      </c>
      <c r="M213" s="85" t="str">
        <f t="shared" si="15"/>
        <v>SP2 Chorzele</v>
      </c>
      <c r="N213" s="39">
        <v>212</v>
      </c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</row>
    <row r="214" spans="2:29" ht="17.25" thickTop="1" thickBot="1">
      <c r="B214">
        <f>wyniki!B255</f>
        <v>0</v>
      </c>
      <c r="C214" s="19">
        <f>wyniki!G255</f>
        <v>0</v>
      </c>
      <c r="D214" s="18">
        <v>2.1299999999999999E-3</v>
      </c>
      <c r="E214" s="19">
        <f t="shared" si="12"/>
        <v>2.1299999999999999E-3</v>
      </c>
      <c r="F214">
        <f>wyniki!$A$252</f>
        <v>0</v>
      </c>
      <c r="J214" s="93" t="str">
        <f t="shared" si="13"/>
        <v>Tłoczkowska Marta</v>
      </c>
      <c r="K214" s="77">
        <f>LARGE($E$2:$E$241,213)</f>
        <v>2.9E-4</v>
      </c>
      <c r="L214" s="69">
        <f t="shared" si="14"/>
        <v>29</v>
      </c>
      <c r="M214" s="85" t="str">
        <f t="shared" si="15"/>
        <v>SP2 Chorzele</v>
      </c>
      <c r="N214" s="39">
        <v>213</v>
      </c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</row>
    <row r="215" spans="2:29" ht="17.25" thickTop="1" thickBot="1">
      <c r="B215">
        <f>wyniki!B256</f>
        <v>0</v>
      </c>
      <c r="C215" s="19">
        <f>wyniki!G256</f>
        <v>0</v>
      </c>
      <c r="D215" s="18">
        <v>2.14E-3</v>
      </c>
      <c r="E215" s="19">
        <f t="shared" si="12"/>
        <v>2.14E-3</v>
      </c>
      <c r="F215">
        <f>wyniki!$A$252</f>
        <v>0</v>
      </c>
      <c r="J215" s="93" t="str">
        <f t="shared" si="13"/>
        <v>Szymańska Joanna</v>
      </c>
      <c r="K215" s="77">
        <f>LARGE($E$2:$E$241,214)</f>
        <v>2.7999999999999998E-4</v>
      </c>
      <c r="L215" s="69">
        <f t="shared" si="14"/>
        <v>28</v>
      </c>
      <c r="M215" s="85" t="str">
        <f t="shared" si="15"/>
        <v>SP2 Chorzele</v>
      </c>
      <c r="N215" s="39">
        <v>214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</row>
    <row r="216" spans="2:29" ht="17.25" thickTop="1" thickBot="1">
      <c r="B216">
        <f>wyniki!B257</f>
        <v>0</v>
      </c>
      <c r="C216" s="19">
        <f>wyniki!G257</f>
        <v>0</v>
      </c>
      <c r="D216" s="18">
        <v>2.15E-3</v>
      </c>
      <c r="E216" s="19">
        <f t="shared" si="12"/>
        <v>2.15E-3</v>
      </c>
      <c r="F216">
        <f>wyniki!$A$252</f>
        <v>0</v>
      </c>
      <c r="J216" s="93" t="str">
        <f t="shared" si="13"/>
        <v>Lubowiecka Nadia</v>
      </c>
      <c r="K216" s="77">
        <f>LARGE($E$2:$E$241,215)</f>
        <v>2.7E-4</v>
      </c>
      <c r="L216" s="69">
        <f t="shared" si="14"/>
        <v>27</v>
      </c>
      <c r="M216" s="85" t="str">
        <f t="shared" si="15"/>
        <v>SP2 Chorzele</v>
      </c>
      <c r="N216" s="39">
        <v>215</v>
      </c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</row>
    <row r="217" spans="2:29" ht="17.25" thickTop="1" thickBot="1">
      <c r="B217">
        <f>wyniki!B258</f>
        <v>0</v>
      </c>
      <c r="C217" s="19">
        <f>wyniki!G258</f>
        <v>0</v>
      </c>
      <c r="D217" s="18">
        <v>2.16E-3</v>
      </c>
      <c r="E217" s="19">
        <f t="shared" si="12"/>
        <v>2.16E-3</v>
      </c>
      <c r="F217">
        <f>wyniki!$A$252</f>
        <v>0</v>
      </c>
      <c r="J217" s="93" t="str">
        <f t="shared" si="13"/>
        <v>Grabowska Maja</v>
      </c>
      <c r="K217" s="77">
        <f>LARGE($E$2:$E$241,216)</f>
        <v>2.5999999999999998E-4</v>
      </c>
      <c r="L217" s="69">
        <f t="shared" si="14"/>
        <v>26</v>
      </c>
      <c r="M217" s="85" t="str">
        <f t="shared" si="15"/>
        <v>SP2 Chorzele</v>
      </c>
      <c r="N217" s="39">
        <v>216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</row>
    <row r="218" spans="2:29" ht="17.25" thickTop="1" thickBot="1">
      <c r="B218">
        <f>wyniki!B260</f>
        <v>0</v>
      </c>
      <c r="C218" s="19">
        <f>wyniki!G260</f>
        <v>0</v>
      </c>
      <c r="D218" s="18">
        <v>2.1700000000000001E-3</v>
      </c>
      <c r="E218" s="19">
        <f t="shared" si="12"/>
        <v>2.1700000000000001E-3</v>
      </c>
      <c r="F218">
        <f>wyniki!$A$259</f>
        <v>0</v>
      </c>
      <c r="J218" s="93" t="str">
        <f t="shared" si="13"/>
        <v>Furman Alicja</v>
      </c>
      <c r="K218" s="77">
        <f>LARGE($E$2:$E$241,217)</f>
        <v>2.5000000000000001E-4</v>
      </c>
      <c r="L218" s="69">
        <f t="shared" si="14"/>
        <v>25</v>
      </c>
      <c r="M218" s="85" t="str">
        <f t="shared" si="15"/>
        <v>SP2 Chorzele</v>
      </c>
      <c r="N218" s="39">
        <v>217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</row>
    <row r="219" spans="2:29" ht="17.25" thickTop="1" thickBot="1">
      <c r="B219">
        <f>wyniki!B261</f>
        <v>0</v>
      </c>
      <c r="C219" s="19">
        <f>wyniki!G261</f>
        <v>0</v>
      </c>
      <c r="D219" s="18">
        <v>2.1800000000000001E-3</v>
      </c>
      <c r="E219" s="19">
        <f t="shared" si="12"/>
        <v>2.1800000000000001E-3</v>
      </c>
      <c r="F219">
        <f>wyniki!$A$259</f>
        <v>0</v>
      </c>
      <c r="J219" s="93" t="str">
        <f t="shared" si="13"/>
        <v>Radgowska Maja</v>
      </c>
      <c r="K219" s="77">
        <f>LARGE($E$2:$E$241,218)</f>
        <v>2.4000000000000001E-4</v>
      </c>
      <c r="L219" s="69">
        <f t="shared" si="14"/>
        <v>24</v>
      </c>
      <c r="M219" s="85" t="str">
        <f t="shared" si="15"/>
        <v>SP2 Ostrów Maz.</v>
      </c>
      <c r="N219" s="39">
        <v>218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</row>
    <row r="220" spans="2:29" ht="17.25" thickTop="1" thickBot="1">
      <c r="B220">
        <f>wyniki!B262</f>
        <v>0</v>
      </c>
      <c r="C220" s="19">
        <f>wyniki!G262</f>
        <v>0</v>
      </c>
      <c r="D220" s="18">
        <v>2.1900000000000001E-3</v>
      </c>
      <c r="E220" s="19">
        <f t="shared" si="12"/>
        <v>2.1900000000000001E-3</v>
      </c>
      <c r="F220">
        <f>wyniki!$A$259</f>
        <v>0</v>
      </c>
      <c r="J220" s="93" t="str">
        <f t="shared" si="13"/>
        <v>Wojsz Paulina</v>
      </c>
      <c r="K220" s="77">
        <f>LARGE($E$2:$E$241,219)</f>
        <v>2.3000000000000001E-4</v>
      </c>
      <c r="L220" s="69">
        <f t="shared" si="14"/>
        <v>23</v>
      </c>
      <c r="M220" s="85" t="str">
        <f t="shared" si="15"/>
        <v>SP2 Ostrów Maz.</v>
      </c>
      <c r="N220" s="39">
        <v>219</v>
      </c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</row>
    <row r="221" spans="2:29" ht="17.25" thickTop="1" thickBot="1">
      <c r="B221">
        <f>wyniki!B263</f>
        <v>0</v>
      </c>
      <c r="C221" s="19">
        <f>wyniki!G263</f>
        <v>0</v>
      </c>
      <c r="D221" s="18">
        <v>2.2000000000000001E-3</v>
      </c>
      <c r="E221" s="19">
        <f t="shared" si="12"/>
        <v>2.2000000000000001E-3</v>
      </c>
      <c r="F221">
        <f>wyniki!$A$259</f>
        <v>0</v>
      </c>
      <c r="J221" s="93" t="str">
        <f t="shared" si="13"/>
        <v>Paradukha Viktoria</v>
      </c>
      <c r="K221" s="77">
        <f>LARGE($E$2:$E$241,220)</f>
        <v>2.2000000000000001E-4</v>
      </c>
      <c r="L221" s="69">
        <f t="shared" si="14"/>
        <v>22</v>
      </c>
      <c r="M221" s="85" t="str">
        <f t="shared" si="15"/>
        <v>SP2 Ostrów Maz.</v>
      </c>
      <c r="N221" s="39">
        <v>220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</row>
    <row r="222" spans="2:29" ht="17.25" thickTop="1" thickBot="1">
      <c r="B222">
        <f>wyniki!B264</f>
        <v>0</v>
      </c>
      <c r="C222" s="19">
        <f>wyniki!G264</f>
        <v>0</v>
      </c>
      <c r="D222" s="18">
        <v>2.2100000000000002E-3</v>
      </c>
      <c r="E222" s="19">
        <f t="shared" si="12"/>
        <v>2.2100000000000002E-3</v>
      </c>
      <c r="F222">
        <f>wyniki!$A$259</f>
        <v>0</v>
      </c>
      <c r="J222" s="93" t="str">
        <f t="shared" si="13"/>
        <v>Niemyjska Aleksandra</v>
      </c>
      <c r="K222" s="77">
        <f>LARGE($E$2:$E$241,221)</f>
        <v>2.1000000000000001E-4</v>
      </c>
      <c r="L222" s="69">
        <f t="shared" si="14"/>
        <v>21</v>
      </c>
      <c r="M222" s="85" t="str">
        <f t="shared" si="15"/>
        <v>SP2 Ostrów Maz.</v>
      </c>
      <c r="N222" s="39">
        <v>221</v>
      </c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</row>
    <row r="223" spans="2:29" ht="17.25" thickTop="1" thickBot="1">
      <c r="B223">
        <f>wyniki!B265</f>
        <v>0</v>
      </c>
      <c r="C223" s="19">
        <f>wyniki!G265</f>
        <v>0</v>
      </c>
      <c r="D223" s="18">
        <v>2.2200000000000002E-3</v>
      </c>
      <c r="E223" s="19">
        <f t="shared" si="12"/>
        <v>2.2200000000000002E-3</v>
      </c>
      <c r="F223">
        <f>wyniki!$A$259</f>
        <v>0</v>
      </c>
      <c r="J223" s="93" t="str">
        <f t="shared" si="13"/>
        <v>Kołakowska Gabriela</v>
      </c>
      <c r="K223" s="77">
        <f>LARGE($E$2:$E$241,222)</f>
        <v>2.0000000000000001E-4</v>
      </c>
      <c r="L223" s="69">
        <f t="shared" si="14"/>
        <v>20</v>
      </c>
      <c r="M223" s="85" t="str">
        <f t="shared" si="15"/>
        <v>SP2 Ostrów Maz.</v>
      </c>
      <c r="N223" s="39">
        <v>222</v>
      </c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</row>
    <row r="224" spans="2:29" ht="17.25" thickTop="1" thickBot="1">
      <c r="B224">
        <f>wyniki!B267</f>
        <v>0</v>
      </c>
      <c r="C224" s="19">
        <f>wyniki!G267</f>
        <v>0</v>
      </c>
      <c r="D224" s="18">
        <v>2.2300000000000002E-3</v>
      </c>
      <c r="E224" s="19">
        <f t="shared" si="12"/>
        <v>2.2300000000000002E-3</v>
      </c>
      <c r="F224">
        <f>wyniki!$A$266</f>
        <v>0</v>
      </c>
      <c r="J224" s="93" t="str">
        <f t="shared" si="13"/>
        <v>Burkiewicz Amelia</v>
      </c>
      <c r="K224" s="77">
        <f>LARGE($E$2:$E$241,223)</f>
        <v>1.9000000000000001E-4</v>
      </c>
      <c r="L224" s="69">
        <f t="shared" si="14"/>
        <v>19</v>
      </c>
      <c r="M224" s="85" t="str">
        <f t="shared" si="15"/>
        <v>SP2 Ostrów Maz.</v>
      </c>
      <c r="N224" s="39">
        <v>223</v>
      </c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</row>
    <row r="225" spans="2:29" ht="17.25" thickTop="1" thickBot="1">
      <c r="B225">
        <f>wyniki!B268</f>
        <v>0</v>
      </c>
      <c r="C225" s="19">
        <f>wyniki!G268</f>
        <v>0</v>
      </c>
      <c r="D225" s="18">
        <v>2.2399999999999998E-3</v>
      </c>
      <c r="E225" s="19">
        <f t="shared" si="12"/>
        <v>2.2399999999999998E-3</v>
      </c>
      <c r="F225">
        <f>wyniki!$A$266</f>
        <v>0</v>
      </c>
      <c r="J225" s="93" t="str">
        <f t="shared" si="13"/>
        <v>Tyczyńska Lena</v>
      </c>
      <c r="K225" s="77">
        <f>LARGE($E$2:$E$241,224)</f>
        <v>1.8000000000000001E-4</v>
      </c>
      <c r="L225" s="69">
        <f t="shared" si="14"/>
        <v>18</v>
      </c>
      <c r="M225" s="85" t="str">
        <f t="shared" si="15"/>
        <v>PSP 2 Radom</v>
      </c>
      <c r="N225" s="39">
        <v>224</v>
      </c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</row>
    <row r="226" spans="2:29" ht="17.25" thickTop="1" thickBot="1">
      <c r="B226">
        <f>wyniki!B269</f>
        <v>0</v>
      </c>
      <c r="C226" s="19">
        <f>wyniki!G269</f>
        <v>0</v>
      </c>
      <c r="D226" s="18">
        <v>2.2499999999999998E-3</v>
      </c>
      <c r="E226" s="19">
        <f t="shared" si="12"/>
        <v>2.2499999999999998E-3</v>
      </c>
      <c r="F226">
        <f>wyniki!$A$266</f>
        <v>0</v>
      </c>
      <c r="J226" s="93" t="str">
        <f t="shared" si="13"/>
        <v>Piotrowska Iga</v>
      </c>
      <c r="K226" s="77">
        <f>LARGE($E$2:$E$241,225)</f>
        <v>1.7000000000000001E-4</v>
      </c>
      <c r="L226" s="69">
        <f t="shared" si="14"/>
        <v>17</v>
      </c>
      <c r="M226" s="85" t="str">
        <f t="shared" si="15"/>
        <v>PSP 2 Radom</v>
      </c>
      <c r="N226" s="39">
        <v>225</v>
      </c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</row>
    <row r="227" spans="2:29" ht="17.25" thickTop="1" thickBot="1">
      <c r="B227">
        <f>wyniki!B270</f>
        <v>0</v>
      </c>
      <c r="C227" s="19">
        <f>wyniki!G270</f>
        <v>0</v>
      </c>
      <c r="D227" s="18">
        <v>2.2599999999999999E-3</v>
      </c>
      <c r="E227" s="19">
        <f t="shared" si="12"/>
        <v>2.2599999999999999E-3</v>
      </c>
      <c r="F227">
        <f>wyniki!$A$266</f>
        <v>0</v>
      </c>
      <c r="J227" s="93" t="str">
        <f t="shared" si="13"/>
        <v>Maj Amelia</v>
      </c>
      <c r="K227" s="77">
        <f>LARGE($E$2:$E$241,226)</f>
        <v>1.6000000000000001E-4</v>
      </c>
      <c r="L227" s="69">
        <f t="shared" si="14"/>
        <v>16</v>
      </c>
      <c r="M227" s="85" t="str">
        <f t="shared" si="15"/>
        <v>PSP 2 Radom</v>
      </c>
      <c r="N227" s="39">
        <v>226</v>
      </c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</row>
    <row r="228" spans="2:29" ht="17.25" thickTop="1" thickBot="1">
      <c r="B228">
        <f>wyniki!B271</f>
        <v>0</v>
      </c>
      <c r="C228" s="19">
        <f>wyniki!G271</f>
        <v>0</v>
      </c>
      <c r="D228" s="18">
        <v>2.2699999999999999E-3</v>
      </c>
      <c r="E228" s="19">
        <f t="shared" si="12"/>
        <v>2.2699999999999999E-3</v>
      </c>
      <c r="F228">
        <f>wyniki!$A$266</f>
        <v>0</v>
      </c>
      <c r="J228" s="93" t="str">
        <f t="shared" si="13"/>
        <v>Kąca Alicja</v>
      </c>
      <c r="K228" s="77">
        <f>LARGE($E$2:$E$241,227)</f>
        <v>1.4999999999999999E-4</v>
      </c>
      <c r="L228" s="69">
        <f t="shared" si="14"/>
        <v>15</v>
      </c>
      <c r="M228" s="85" t="str">
        <f t="shared" si="15"/>
        <v>PSP 2 Radom</v>
      </c>
      <c r="N228" s="39">
        <v>227</v>
      </c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</row>
    <row r="229" spans="2:29" ht="17.25" thickTop="1" thickBot="1">
      <c r="B229">
        <f>wyniki!B272</f>
        <v>0</v>
      </c>
      <c r="C229" s="19">
        <f>wyniki!G272</f>
        <v>0</v>
      </c>
      <c r="D229" s="18">
        <v>2.2799999999999999E-3</v>
      </c>
      <c r="E229" s="19">
        <f t="shared" si="12"/>
        <v>2.2799999999999999E-3</v>
      </c>
      <c r="F229">
        <f>wyniki!$A$266</f>
        <v>0</v>
      </c>
      <c r="J229" s="93" t="str">
        <f t="shared" si="13"/>
        <v>Jakubowska Liliana</v>
      </c>
      <c r="K229" s="77">
        <f>LARGE($E$2:$E$241,228)</f>
        <v>1.3999999999999999E-4</v>
      </c>
      <c r="L229" s="69">
        <f t="shared" si="14"/>
        <v>14</v>
      </c>
      <c r="M229" s="85" t="str">
        <f t="shared" si="15"/>
        <v>PSP 2 Radom</v>
      </c>
      <c r="N229" s="39">
        <v>228</v>
      </c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</row>
    <row r="230" spans="2:29" ht="17.25" thickTop="1" thickBot="1">
      <c r="B230">
        <f>wyniki!B274</f>
        <v>0</v>
      </c>
      <c r="C230" s="19">
        <f>wyniki!G274</f>
        <v>0</v>
      </c>
      <c r="D230" s="18">
        <v>2.2899999999999999E-3</v>
      </c>
      <c r="E230" s="19">
        <f t="shared" si="12"/>
        <v>2.2899999999999999E-3</v>
      </c>
      <c r="F230">
        <f>wyniki!$A$273</f>
        <v>0</v>
      </c>
      <c r="J230" s="93" t="str">
        <f t="shared" si="13"/>
        <v>Gawor Maria</v>
      </c>
      <c r="K230" s="77">
        <f>LARGE($E$2:$E$241,229)</f>
        <v>1.2999999999999999E-4</v>
      </c>
      <c r="L230" s="69">
        <f t="shared" si="14"/>
        <v>13</v>
      </c>
      <c r="M230" s="85" t="str">
        <f t="shared" si="15"/>
        <v>PSP 2 Radom</v>
      </c>
      <c r="N230" s="39">
        <v>229</v>
      </c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</row>
    <row r="231" spans="2:29" ht="17.25" thickTop="1" thickBot="1">
      <c r="B231">
        <f>wyniki!B275</f>
        <v>0</v>
      </c>
      <c r="C231" s="19">
        <f>wyniki!G275</f>
        <v>0</v>
      </c>
      <c r="D231" s="18">
        <v>2.3E-3</v>
      </c>
      <c r="E231" s="19">
        <f t="shared" si="12"/>
        <v>2.3E-3</v>
      </c>
      <c r="F231">
        <f>wyniki!$A$273</f>
        <v>0</v>
      </c>
      <c r="J231" s="93" t="str">
        <f t="shared" si="13"/>
        <v>Zarzycka Helena</v>
      </c>
      <c r="K231" s="77">
        <f>LARGE($E$2:$E$241,230)</f>
        <v>1.2E-4</v>
      </c>
      <c r="L231" s="69">
        <f t="shared" si="14"/>
        <v>12</v>
      </c>
      <c r="M231" s="85" t="str">
        <f t="shared" si="15"/>
        <v>SP204 Warszawa</v>
      </c>
      <c r="N231" s="39">
        <v>230</v>
      </c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</row>
    <row r="232" spans="2:29" ht="17.25" thickTop="1" thickBot="1">
      <c r="B232">
        <f>wyniki!B276</f>
        <v>0</v>
      </c>
      <c r="C232" s="19">
        <f>wyniki!G276</f>
        <v>0</v>
      </c>
      <c r="D232" s="18">
        <v>2.31E-3</v>
      </c>
      <c r="E232" s="19">
        <f t="shared" si="12"/>
        <v>2.31E-3</v>
      </c>
      <c r="F232">
        <f>wyniki!$A$273</f>
        <v>0</v>
      </c>
      <c r="J232" s="93" t="str">
        <f t="shared" si="13"/>
        <v>Rogowska Maja</v>
      </c>
      <c r="K232" s="77">
        <f>LARGE($E$2:$E$241,231)</f>
        <v>1.1E-4</v>
      </c>
      <c r="L232" s="69">
        <f t="shared" si="14"/>
        <v>11</v>
      </c>
      <c r="M232" s="85" t="str">
        <f t="shared" si="15"/>
        <v>SP204 Warszawa</v>
      </c>
      <c r="N232" s="39">
        <v>231</v>
      </c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</row>
    <row r="233" spans="2:29" ht="17.25" thickTop="1" thickBot="1">
      <c r="B233">
        <f>wyniki!B277</f>
        <v>0</v>
      </c>
      <c r="C233" s="19">
        <f>wyniki!G277</f>
        <v>0</v>
      </c>
      <c r="D233" s="18">
        <v>2.32E-3</v>
      </c>
      <c r="E233" s="19">
        <f t="shared" si="12"/>
        <v>2.32E-3</v>
      </c>
      <c r="F233">
        <f>wyniki!$A$273</f>
        <v>0</v>
      </c>
      <c r="J233" s="93" t="str">
        <f t="shared" si="13"/>
        <v>Kowalska Maja</v>
      </c>
      <c r="K233" s="77">
        <f>LARGE($E$2:$E$241,232)</f>
        <v>1E-4</v>
      </c>
      <c r="L233" s="69">
        <f t="shared" si="14"/>
        <v>10</v>
      </c>
      <c r="M233" s="85" t="str">
        <f t="shared" si="15"/>
        <v>SP204 Warszawa</v>
      </c>
      <c r="N233" s="39">
        <v>232</v>
      </c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</row>
    <row r="234" spans="2:29" ht="17.25" thickTop="1" thickBot="1">
      <c r="B234">
        <f>wyniki!B278</f>
        <v>0</v>
      </c>
      <c r="C234" s="19">
        <f>wyniki!G278</f>
        <v>0</v>
      </c>
      <c r="D234" s="18">
        <v>2.33E-3</v>
      </c>
      <c r="E234" s="19">
        <f t="shared" si="12"/>
        <v>2.33E-3</v>
      </c>
      <c r="F234">
        <f>wyniki!$A$273</f>
        <v>0</v>
      </c>
      <c r="J234" s="93" t="str">
        <f t="shared" si="13"/>
        <v>Dasiewicz Barbara</v>
      </c>
      <c r="K234" s="77">
        <f>LARGE($E$2:$E$241,233)</f>
        <v>8.0000000000000007E-5</v>
      </c>
      <c r="L234" s="69">
        <f t="shared" si="14"/>
        <v>8</v>
      </c>
      <c r="M234" s="85" t="str">
        <f t="shared" si="15"/>
        <v>SP204 Warszawa</v>
      </c>
      <c r="N234" s="39">
        <v>233</v>
      </c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</row>
    <row r="235" spans="2:29" ht="17.25" thickTop="1" thickBot="1">
      <c r="B235">
        <f>wyniki!B279</f>
        <v>0</v>
      </c>
      <c r="C235" s="19">
        <f>wyniki!G279</f>
        <v>0</v>
      </c>
      <c r="D235" s="18">
        <v>2.3400000000000001E-3</v>
      </c>
      <c r="E235" s="19">
        <f t="shared" si="12"/>
        <v>2.3400000000000001E-3</v>
      </c>
      <c r="F235">
        <f>wyniki!$A$273</f>
        <v>0</v>
      </c>
      <c r="J235" s="93" t="str">
        <f t="shared" si="13"/>
        <v>Cisowska Lena</v>
      </c>
      <c r="K235" s="77">
        <f>LARGE($E$2:$E$241,234)</f>
        <v>6.9999999999999994E-5</v>
      </c>
      <c r="L235" s="69">
        <f t="shared" si="14"/>
        <v>7</v>
      </c>
      <c r="M235" s="85" t="str">
        <f t="shared" si="15"/>
        <v>SP204 Warszawa</v>
      </c>
      <c r="N235" s="39">
        <v>234</v>
      </c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</row>
    <row r="236" spans="2:29" ht="17.25" thickTop="1" thickBot="1">
      <c r="B236">
        <f>wyniki!B281</f>
        <v>0</v>
      </c>
      <c r="C236" s="19">
        <f>wyniki!G281</f>
        <v>0</v>
      </c>
      <c r="D236" s="18">
        <v>2.3500000000000001E-3</v>
      </c>
      <c r="E236" s="19">
        <f t="shared" si="12"/>
        <v>2.3500000000000001E-3</v>
      </c>
      <c r="F236">
        <f>wyniki!$A$280</f>
        <v>0</v>
      </c>
      <c r="J236" s="93" t="str">
        <f t="shared" si="13"/>
        <v>Wikalińska Maria</v>
      </c>
      <c r="K236" s="77">
        <f>LARGE($E$2:$E$241,235)</f>
        <v>6.0000000000000002E-5</v>
      </c>
      <c r="L236" s="69">
        <f t="shared" si="14"/>
        <v>6</v>
      </c>
      <c r="M236" s="85" t="str">
        <f t="shared" si="15"/>
        <v>SP14 Warszawa</v>
      </c>
      <c r="N236" s="39">
        <v>235</v>
      </c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</row>
    <row r="237" spans="2:29" ht="17.25" thickTop="1" thickBot="1">
      <c r="B237">
        <f>wyniki!B282</f>
        <v>0</v>
      </c>
      <c r="C237" s="19">
        <f>wyniki!G282</f>
        <v>0</v>
      </c>
      <c r="D237" s="18">
        <v>2.3600000000000001E-3</v>
      </c>
      <c r="E237" s="19">
        <f t="shared" si="12"/>
        <v>2.3600000000000001E-3</v>
      </c>
      <c r="F237">
        <f>wyniki!$A$280</f>
        <v>0</v>
      </c>
      <c r="J237" s="93" t="str">
        <f t="shared" si="13"/>
        <v>Stańczyk Maja</v>
      </c>
      <c r="K237" s="77">
        <f>LARGE($E$2:$E$241,236)</f>
        <v>5.0000000000000002E-5</v>
      </c>
      <c r="L237" s="69">
        <f t="shared" si="14"/>
        <v>5</v>
      </c>
      <c r="M237" s="85" t="str">
        <f t="shared" si="15"/>
        <v>SP14 Warszawa</v>
      </c>
      <c r="N237" s="39">
        <v>236</v>
      </c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2:29" ht="17.25" thickTop="1" thickBot="1">
      <c r="B238">
        <f>wyniki!B283</f>
        <v>0</v>
      </c>
      <c r="C238" s="19">
        <f>wyniki!G283</f>
        <v>0</v>
      </c>
      <c r="D238" s="18">
        <v>2.3700000000000001E-3</v>
      </c>
      <c r="E238" s="19">
        <f t="shared" si="12"/>
        <v>2.3700000000000001E-3</v>
      </c>
      <c r="F238">
        <f>wyniki!$A$280</f>
        <v>0</v>
      </c>
      <c r="J238" s="93" t="str">
        <f t="shared" si="13"/>
        <v>Pietruszka Aleksandra</v>
      </c>
      <c r="K238" s="77">
        <f>LARGE($E$2:$E$241,237)</f>
        <v>4.0000000000000003E-5</v>
      </c>
      <c r="L238" s="69">
        <f t="shared" si="14"/>
        <v>4</v>
      </c>
      <c r="M238" s="85" t="str">
        <f t="shared" si="15"/>
        <v>SP14 Warszawa</v>
      </c>
      <c r="N238" s="39">
        <v>237</v>
      </c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2:29" ht="17.25" thickTop="1" thickBot="1">
      <c r="B239">
        <f>wyniki!B284</f>
        <v>0</v>
      </c>
      <c r="C239" s="19">
        <f>wyniki!G284</f>
        <v>0</v>
      </c>
      <c r="D239" s="18">
        <v>2.3800000000000002E-3</v>
      </c>
      <c r="E239" s="19">
        <f t="shared" si="12"/>
        <v>2.3800000000000002E-3</v>
      </c>
      <c r="F239">
        <f>wyniki!$A$280</f>
        <v>0</v>
      </c>
      <c r="J239" s="93" t="str">
        <f t="shared" si="13"/>
        <v>Glegoła Paulia</v>
      </c>
      <c r="K239" s="77">
        <f>LARGE($E$2:$E$241,238)</f>
        <v>3.0000000000000001E-5</v>
      </c>
      <c r="L239" s="69">
        <f t="shared" si="14"/>
        <v>3</v>
      </c>
      <c r="M239" s="85" t="str">
        <f t="shared" si="15"/>
        <v>SP14 Warszawa</v>
      </c>
      <c r="N239" s="39">
        <v>238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2:29" ht="17.25" thickTop="1" thickBot="1">
      <c r="B240">
        <f>wyniki!B285</f>
        <v>0</v>
      </c>
      <c r="C240" s="19">
        <f>wyniki!G285</f>
        <v>0</v>
      </c>
      <c r="D240" s="18">
        <v>2.3900000000000002E-3</v>
      </c>
      <c r="E240" s="19">
        <f t="shared" si="12"/>
        <v>2.3900000000000002E-3</v>
      </c>
      <c r="F240">
        <f>wyniki!$A$280</f>
        <v>0</v>
      </c>
      <c r="J240" s="93" t="str">
        <f t="shared" si="13"/>
        <v>Dłużewska Julia</v>
      </c>
      <c r="K240" s="77">
        <f>LARGE($E$2:$E$241,239)</f>
        <v>2.0000000000000002E-5</v>
      </c>
      <c r="L240" s="69">
        <f t="shared" si="14"/>
        <v>2</v>
      </c>
      <c r="M240" s="85" t="str">
        <f t="shared" si="15"/>
        <v>SP14 Warszawa</v>
      </c>
      <c r="N240" s="39">
        <v>239</v>
      </c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2:29" ht="17.25" thickTop="1" thickBot="1">
      <c r="B241">
        <f>wyniki!B286</f>
        <v>0</v>
      </c>
      <c r="C241" s="19">
        <f>wyniki!G286</f>
        <v>0</v>
      </c>
      <c r="D241" s="18">
        <v>2.3999999999999998E-3</v>
      </c>
      <c r="E241" s="19">
        <f t="shared" si="12"/>
        <v>2.3999999999999998E-3</v>
      </c>
      <c r="F241">
        <f>wyniki!$A$280</f>
        <v>0</v>
      </c>
      <c r="J241" s="93" t="str">
        <f t="shared" si="13"/>
        <v>Anielska Aleksandra</v>
      </c>
      <c r="K241" s="77">
        <f>LARGE($E$2:$E$241,240)</f>
        <v>1.0000000000000001E-5</v>
      </c>
      <c r="L241" s="69">
        <f t="shared" si="14"/>
        <v>1</v>
      </c>
      <c r="M241" s="85" t="str">
        <f t="shared" si="15"/>
        <v>SP14 Warszawa</v>
      </c>
      <c r="N241" s="39">
        <v>240</v>
      </c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2:29" ht="13.5" thickTop="1"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2:29"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2:29"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2:29"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2:29"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2:29"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2:29"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2:29"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2:29"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2:29"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2:29"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2:29"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2:29"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2:29"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2:29"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  <row r="257" spans="15:29"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</row>
    <row r="258" spans="15:29"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</row>
    <row r="259" spans="15:29"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</row>
    <row r="260" spans="15:29"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</row>
    <row r="261" spans="15:29"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</row>
    <row r="262" spans="15:29"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</row>
    <row r="263" spans="15:29"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</row>
    <row r="264" spans="15:29"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</row>
    <row r="265" spans="15:29"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</row>
    <row r="266" spans="15:29"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</row>
    <row r="267" spans="15:29"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</row>
    <row r="268" spans="15:29"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</row>
    <row r="269" spans="15:29"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</row>
    <row r="270" spans="15:29"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</row>
    <row r="271" spans="15:29"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</row>
    <row r="272" spans="15:29"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</row>
    <row r="273" spans="15:29"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</row>
    <row r="274" spans="15:29"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</row>
    <row r="275" spans="15:29"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</row>
    <row r="276" spans="15:29"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</row>
    <row r="277" spans="15:29"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</row>
    <row r="278" spans="15:29"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</row>
    <row r="279" spans="15:29"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</row>
    <row r="280" spans="15:29"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</row>
    <row r="281" spans="15:29"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</row>
    <row r="282" spans="15:29"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</row>
    <row r="283" spans="15:29"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</row>
    <row r="284" spans="15:29"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</row>
    <row r="285" spans="15:29"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</row>
    <row r="286" spans="15:29"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</row>
    <row r="287" spans="15:29"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</row>
    <row r="288" spans="15:29"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</row>
    <row r="289" spans="15:29"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</row>
    <row r="290" spans="15:29"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</row>
    <row r="291" spans="15:29"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</row>
    <row r="292" spans="15:29"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</row>
    <row r="293" spans="15:29"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</row>
    <row r="294" spans="15:29"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</row>
    <row r="295" spans="15:29"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</row>
    <row r="296" spans="15:29"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</row>
    <row r="297" spans="15:29"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</row>
    <row r="298" spans="15:29"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</row>
    <row r="299" spans="15:29"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</row>
    <row r="300" spans="15:29"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</row>
    <row r="301" spans="15:29"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</row>
    <row r="302" spans="15:29"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</row>
    <row r="303" spans="15:29"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</row>
    <row r="304" spans="15:29"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</row>
    <row r="305" spans="15:29"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</row>
    <row r="306" spans="15:29"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</row>
    <row r="307" spans="15:29"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</row>
    <row r="308" spans="15:29"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</row>
    <row r="309" spans="15:29"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</row>
    <row r="310" spans="15:29"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</row>
    <row r="311" spans="15:29"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</row>
    <row r="312" spans="15:29"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</row>
    <row r="313" spans="15:29"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</row>
    <row r="314" spans="15:29"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</row>
    <row r="315" spans="15:29"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</row>
    <row r="316" spans="15:29"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</row>
    <row r="317" spans="15:29"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</row>
    <row r="318" spans="15:29"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</row>
    <row r="319" spans="15:29"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</row>
    <row r="320" spans="15:29"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</row>
    <row r="321" spans="15:29"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</row>
    <row r="322" spans="15:29"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</row>
    <row r="323" spans="15:29"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</row>
    <row r="324" spans="15:29"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</row>
    <row r="325" spans="15:29"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</row>
    <row r="326" spans="15:29"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</row>
    <row r="327" spans="15:29"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</row>
    <row r="328" spans="15:29"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</row>
    <row r="329" spans="15:29"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</row>
    <row r="330" spans="15:29"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</row>
    <row r="331" spans="15:29"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</row>
    <row r="332" spans="15:29"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</row>
    <row r="333" spans="15:29"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</row>
    <row r="334" spans="15:29"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</row>
    <row r="335" spans="15:29"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</row>
    <row r="336" spans="15:29"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</row>
    <row r="337" spans="15:29"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</row>
    <row r="338" spans="15:29"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</row>
    <row r="339" spans="15:29"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</row>
    <row r="340" spans="15:29"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</row>
    <row r="341" spans="15:29"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</row>
    <row r="342" spans="15:29"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</row>
    <row r="343" spans="15:29"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</row>
    <row r="344" spans="15:29"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</row>
    <row r="345" spans="15:29"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</row>
    <row r="346" spans="15:29"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</row>
    <row r="347" spans="15:29"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</row>
    <row r="348" spans="15:29"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</row>
    <row r="349" spans="15:29"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</row>
    <row r="350" spans="15:29"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</row>
    <row r="351" spans="15:29"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</row>
    <row r="352" spans="15:29"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</row>
    <row r="353" spans="15:29"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</row>
    <row r="354" spans="15:29"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</row>
    <row r="355" spans="15:29"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</row>
    <row r="356" spans="15:29"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</row>
    <row r="357" spans="15:29"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</row>
    <row r="358" spans="15:29"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</row>
    <row r="359" spans="15:29"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</row>
    <row r="360" spans="15:29"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</row>
    <row r="361" spans="15:29"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</row>
    <row r="362" spans="15:29"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</row>
    <row r="363" spans="15:29"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</row>
    <row r="364" spans="15:29"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</row>
    <row r="365" spans="15:29"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</row>
    <row r="366" spans="15:29"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</row>
    <row r="367" spans="15:29"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</row>
    <row r="368" spans="15:29"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</row>
    <row r="369" spans="15:29"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</row>
    <row r="370" spans="15:29"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</row>
    <row r="371" spans="15:29"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</row>
    <row r="372" spans="15:29"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</row>
    <row r="373" spans="15:29"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</row>
    <row r="374" spans="15:29"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</row>
    <row r="375" spans="15:29"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</row>
    <row r="376" spans="15:29"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</row>
    <row r="377" spans="15:29"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</row>
    <row r="378" spans="15:29"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</row>
    <row r="379" spans="15:29"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</row>
    <row r="380" spans="15:29"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</row>
    <row r="381" spans="15:29"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</row>
    <row r="382" spans="15:29"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</row>
    <row r="383" spans="15:29"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</row>
    <row r="384" spans="15:29"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</row>
    <row r="385" spans="15:29"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</row>
    <row r="386" spans="15:29"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</row>
    <row r="387" spans="15:29"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</row>
    <row r="388" spans="15:29"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</row>
    <row r="389" spans="15:29"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</row>
    <row r="390" spans="15:29"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</row>
    <row r="391" spans="15:29"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</row>
    <row r="392" spans="15:29"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</row>
    <row r="393" spans="15:29"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</row>
    <row r="394" spans="15:29"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</row>
    <row r="395" spans="15:29"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</row>
    <row r="396" spans="15:29"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</row>
    <row r="397" spans="15:29"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</row>
    <row r="398" spans="15:29"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</row>
    <row r="399" spans="15:29"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</row>
    <row r="400" spans="15:29"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</row>
    <row r="401" spans="15:29"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</row>
    <row r="402" spans="15:29"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</row>
    <row r="403" spans="15:29"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</row>
    <row r="404" spans="15:29"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</row>
    <row r="405" spans="15:29"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</row>
    <row r="406" spans="15:29"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</row>
    <row r="407" spans="15:29"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</row>
    <row r="408" spans="15:29"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</row>
    <row r="409" spans="15:29"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</row>
    <row r="410" spans="15:29"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</row>
    <row r="411" spans="15:29"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</row>
    <row r="412" spans="15:29"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</row>
    <row r="413" spans="15:29"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</row>
    <row r="414" spans="15:29"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</row>
    <row r="415" spans="15:29"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</row>
    <row r="416" spans="15:29"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</row>
    <row r="417" spans="15:29"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</row>
    <row r="418" spans="15:29"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</row>
    <row r="419" spans="15:29"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</row>
    <row r="420" spans="15:29"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</row>
    <row r="421" spans="15:29"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</row>
    <row r="422" spans="15:29"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</row>
    <row r="423" spans="15:29"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</row>
    <row r="424" spans="15:29"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</row>
    <row r="425" spans="15:29"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</row>
    <row r="426" spans="15:29"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</row>
    <row r="427" spans="15:29"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</row>
    <row r="428" spans="15:29"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</row>
    <row r="429" spans="15:29"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</row>
    <row r="430" spans="15:29"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</row>
    <row r="431" spans="15:29"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</row>
    <row r="432" spans="15:29"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</row>
    <row r="433" spans="15:29"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</row>
    <row r="434" spans="15:29"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</row>
    <row r="435" spans="15:29"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</row>
    <row r="436" spans="15:29"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</row>
    <row r="437" spans="15:29"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</row>
    <row r="438" spans="15:29"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</row>
    <row r="439" spans="15:29"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</row>
    <row r="440" spans="15:29"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</row>
    <row r="441" spans="15:29"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</row>
    <row r="442" spans="15:29"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</row>
    <row r="443" spans="15:29"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</row>
    <row r="444" spans="15:29"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</row>
    <row r="445" spans="15:29"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</row>
    <row r="446" spans="15:29"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</row>
    <row r="447" spans="15:29"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</row>
    <row r="448" spans="15:29"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</row>
    <row r="449" spans="15:29"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</row>
    <row r="450" spans="15:29"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</row>
    <row r="451" spans="15:29"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</row>
    <row r="452" spans="15:29"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</row>
    <row r="453" spans="15:29"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</row>
    <row r="454" spans="15:29"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</row>
    <row r="455" spans="15:29"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</row>
    <row r="456" spans="15:29"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</row>
    <row r="457" spans="15:29"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</row>
    <row r="458" spans="15:29"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</row>
    <row r="459" spans="15:29"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</row>
    <row r="460" spans="15:29"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</row>
    <row r="461" spans="15:29"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</row>
    <row r="462" spans="15:29"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</row>
    <row r="463" spans="15:29"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</row>
    <row r="464" spans="15:29"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</row>
    <row r="465" spans="15:29"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</row>
    <row r="466" spans="15:29"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</row>
    <row r="467" spans="15:29"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</row>
    <row r="468" spans="15:29"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</row>
    <row r="469" spans="15:29"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</row>
    <row r="470" spans="15:29"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</row>
    <row r="471" spans="15:29"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</row>
    <row r="472" spans="15:29"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</row>
    <row r="473" spans="15:29"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</row>
    <row r="474" spans="15:29"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</row>
    <row r="475" spans="15:29"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</row>
    <row r="476" spans="15:29"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</row>
    <row r="477" spans="15:29"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</row>
    <row r="478" spans="15:29"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</row>
    <row r="479" spans="15:29"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</row>
    <row r="480" spans="15:29"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</row>
    <row r="481" spans="15:29"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</row>
    <row r="482" spans="15:29"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</row>
    <row r="483" spans="15:29"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</row>
    <row r="484" spans="15:29"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</row>
    <row r="485" spans="15:29"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</row>
    <row r="486" spans="15:29"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</row>
    <row r="487" spans="15:29"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</row>
    <row r="488" spans="15:29"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</row>
    <row r="489" spans="15:29"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</row>
    <row r="490" spans="15:29"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</row>
    <row r="491" spans="15:29"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</row>
    <row r="492" spans="15:29"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</row>
    <row r="493" spans="15:29"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</row>
    <row r="494" spans="15:29"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</row>
    <row r="495" spans="15:29"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</row>
    <row r="496" spans="15:29"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</row>
    <row r="497" spans="15:29"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</row>
    <row r="498" spans="15:29"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</row>
    <row r="499" spans="15:29"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</row>
    <row r="500" spans="15:29"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</row>
    <row r="501" spans="15:29"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</row>
    <row r="502" spans="15:29"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</row>
    <row r="503" spans="15:29"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</row>
    <row r="504" spans="15:29"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</row>
    <row r="505" spans="15:29"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</row>
    <row r="506" spans="15:29"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</row>
    <row r="507" spans="15:29"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</row>
    <row r="508" spans="15:29"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</row>
    <row r="509" spans="15:29"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</row>
    <row r="510" spans="15:29"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</row>
    <row r="511" spans="15:29"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</row>
    <row r="512" spans="15:29"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</row>
    <row r="513" spans="15:29"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</row>
  </sheetData>
  <autoFilter ref="J1:N1"/>
  <phoneticPr fontId="3" type="noConversion"/>
  <pageMargins left="0.75" right="0.75" top="1" bottom="1" header="0.5" footer="0.5"/>
  <pageSetup paperSize="9" scale="76" orientation="portrait" horizontalDpi="4294967294" r:id="rId1"/>
  <headerFooter alignWithMargins="0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B1:AP386"/>
  <sheetViews>
    <sheetView showGridLines="0" view="pageBreakPreview" zoomScaleNormal="100" workbookViewId="0">
      <selection activeCell="J1" sqref="J1:N1"/>
    </sheetView>
  </sheetViews>
  <sheetFormatPr defaultRowHeight="12.75"/>
  <cols>
    <col min="2" max="2" width="19.140625" hidden="1" customWidth="1"/>
    <col min="3" max="6" width="0" hidden="1" customWidth="1"/>
    <col min="8" max="8" width="0" hidden="1" customWidth="1"/>
    <col min="10" max="10" width="30.85546875" style="87" customWidth="1"/>
    <col min="11" max="11" width="9.28515625" style="78" bestFit="1" customWidth="1"/>
    <col min="12" max="12" width="5.140625" hidden="1" customWidth="1"/>
    <col min="13" max="13" width="30.5703125" style="87" customWidth="1"/>
    <col min="14" max="14" width="11.42578125" style="76" bestFit="1" customWidth="1"/>
  </cols>
  <sheetData>
    <row r="1" spans="2:31" ht="19.5" thickTop="1" thickBot="1">
      <c r="J1" s="66" t="s">
        <v>1719</v>
      </c>
      <c r="K1" s="65" t="s">
        <v>1720</v>
      </c>
      <c r="L1" s="66"/>
      <c r="M1" s="95" t="s">
        <v>1721</v>
      </c>
      <c r="N1" s="66" t="s">
        <v>1722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2:31" ht="17.25" thickTop="1" thickBot="1">
      <c r="B2" t="str">
        <f>wyniki!B8</f>
        <v>Anielska Aleksandra</v>
      </c>
      <c r="C2" s="19">
        <f>wyniki!I8</f>
        <v>365</v>
      </c>
      <c r="D2" s="18">
        <v>1.0000000000000001E-5</v>
      </c>
      <c r="E2" s="19">
        <f>C2+D2</f>
        <v>365.00000999999997</v>
      </c>
      <c r="F2" t="str">
        <f>wyniki!$A$7</f>
        <v>SP14 Warszawa</v>
      </c>
      <c r="J2" s="93" t="str">
        <f>INDEX($B$2:$E$241,L2,1)</f>
        <v>Tryzno Alicja</v>
      </c>
      <c r="K2" s="77">
        <f>LARGE($E$2:$E$241,1)</f>
        <v>476.00054</v>
      </c>
      <c r="L2" s="67">
        <f>MATCH(K2,$E$2:$E$241,0)</f>
        <v>54</v>
      </c>
      <c r="M2" s="85" t="str">
        <f>INDEX($E$2:$F$241,L2,2)</f>
        <v>SP Podkowa Leśna</v>
      </c>
      <c r="N2" s="39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31" ht="17.25" thickTop="1" thickBot="1">
      <c r="B3" t="str">
        <f>wyniki!B9</f>
        <v>Dłużewska Julia</v>
      </c>
      <c r="C3" s="19">
        <f>wyniki!I9</f>
        <v>411</v>
      </c>
      <c r="D3" s="18">
        <v>2.0000000000000002E-5</v>
      </c>
      <c r="E3" s="19">
        <f t="shared" ref="E3:E66" si="0">C3+D3</f>
        <v>411.00002000000001</v>
      </c>
      <c r="F3" t="str">
        <f>wyniki!$A$7</f>
        <v>SP14 Warszawa</v>
      </c>
      <c r="J3" s="93" t="str">
        <f t="shared" ref="J3:J66" si="1">INDEX($B$2:$E$241,L3,1)</f>
        <v>Jachowicz Roksana</v>
      </c>
      <c r="K3" s="77">
        <f>LARGE($E$2:$E$241,2)</f>
        <v>470.00038000000001</v>
      </c>
      <c r="L3" s="67">
        <f t="shared" ref="L3:L66" si="2">MATCH(K3,$E$2:$E$241,0)</f>
        <v>38</v>
      </c>
      <c r="M3" s="85" t="str">
        <f t="shared" ref="M3:M66" si="3">INDEX($E$2:$F$241,L3,2)</f>
        <v>SP2 Węgrów</v>
      </c>
      <c r="N3" s="39">
        <v>2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2:31" ht="17.25" thickTop="1" thickBot="1">
      <c r="B4" t="str">
        <f>wyniki!B10</f>
        <v>Glegoła Paulia</v>
      </c>
      <c r="C4" s="19">
        <f>wyniki!I10</f>
        <v>400</v>
      </c>
      <c r="D4" s="18">
        <v>3.0000000000000001E-5</v>
      </c>
      <c r="E4" s="19">
        <f t="shared" si="0"/>
        <v>400.00002999999998</v>
      </c>
      <c r="F4" t="str">
        <f>wyniki!$A$7</f>
        <v>SP14 Warszawa</v>
      </c>
      <c r="J4" s="93" t="str">
        <f t="shared" si="1"/>
        <v>Chromińska Maja</v>
      </c>
      <c r="K4" s="77">
        <f>LARGE($E$2:$E$241,3)</f>
        <v>466.00042999999999</v>
      </c>
      <c r="L4" s="67">
        <f t="shared" si="2"/>
        <v>43</v>
      </c>
      <c r="M4" s="85" t="str">
        <f t="shared" si="3"/>
        <v>SP11 Siedlce</v>
      </c>
      <c r="N4" s="39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7.25" thickTop="1" thickBot="1">
      <c r="B5" t="str">
        <f>wyniki!B11</f>
        <v>Pietruszka Aleksandra</v>
      </c>
      <c r="C5" s="19">
        <f>wyniki!I11</f>
        <v>416</v>
      </c>
      <c r="D5" s="18">
        <v>4.0000000000000003E-5</v>
      </c>
      <c r="E5" s="19">
        <f t="shared" si="0"/>
        <v>416.00004000000001</v>
      </c>
      <c r="F5" t="str">
        <f>wyniki!$A$7</f>
        <v>SP14 Warszawa</v>
      </c>
      <c r="J5" s="93" t="str">
        <f t="shared" si="1"/>
        <v>Zarzycka Helena</v>
      </c>
      <c r="K5" s="77">
        <f>LARGE($E$2:$E$241,4)</f>
        <v>462.00011999999998</v>
      </c>
      <c r="L5" s="67">
        <f t="shared" si="2"/>
        <v>12</v>
      </c>
      <c r="M5" s="85" t="str">
        <f t="shared" si="3"/>
        <v>SP204 Warszawa</v>
      </c>
      <c r="N5" s="39">
        <v>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1" ht="17.25" thickTop="1" thickBot="1">
      <c r="B6" t="str">
        <f>wyniki!B12</f>
        <v>Stańczyk Maja</v>
      </c>
      <c r="C6" s="19">
        <f>wyniki!I12</f>
        <v>448</v>
      </c>
      <c r="D6" s="18">
        <v>5.0000000000000002E-5</v>
      </c>
      <c r="E6" s="19">
        <f t="shared" si="0"/>
        <v>448.00004999999999</v>
      </c>
      <c r="F6" t="str">
        <f>wyniki!$A$7</f>
        <v>SP14 Warszawa</v>
      </c>
      <c r="J6" s="93" t="str">
        <f t="shared" si="1"/>
        <v>Tyczyńska Lena</v>
      </c>
      <c r="K6" s="77">
        <f>LARGE($E$2:$E$241,5)</f>
        <v>460.00018</v>
      </c>
      <c r="L6" s="67">
        <f t="shared" si="2"/>
        <v>18</v>
      </c>
      <c r="M6" s="85" t="str">
        <f t="shared" si="3"/>
        <v>PSP 2 Radom</v>
      </c>
      <c r="N6" s="39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2:31" ht="17.25" thickTop="1" thickBot="1">
      <c r="B7" t="str">
        <f>wyniki!B13</f>
        <v>Wikalińska Maria</v>
      </c>
      <c r="C7" s="19">
        <f>wyniki!I13</f>
        <v>395</v>
      </c>
      <c r="D7" s="18">
        <v>6.0000000000000002E-5</v>
      </c>
      <c r="E7" s="19">
        <f t="shared" si="0"/>
        <v>395.00006000000002</v>
      </c>
      <c r="F7" t="str">
        <f>wyniki!$A$7</f>
        <v>SP14 Warszawa</v>
      </c>
      <c r="J7" s="93" t="str">
        <f t="shared" si="1"/>
        <v>Stańczyk Maja</v>
      </c>
      <c r="K7" s="77">
        <f>LARGE($E$2:$E$241,6)</f>
        <v>448.00004999999999</v>
      </c>
      <c r="L7" s="67">
        <f t="shared" si="2"/>
        <v>5</v>
      </c>
      <c r="M7" s="85" t="str">
        <f t="shared" si="3"/>
        <v>SP14 Warszawa</v>
      </c>
      <c r="N7" s="39">
        <v>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2:31" ht="17.25" thickTop="1" thickBot="1">
      <c r="B8" t="str">
        <f>wyniki!B15</f>
        <v>Cisowska Lena</v>
      </c>
      <c r="C8" s="19">
        <f>wyniki!I15</f>
        <v>384</v>
      </c>
      <c r="D8" s="18">
        <v>6.9999999999999994E-5</v>
      </c>
      <c r="E8" s="19">
        <f t="shared" si="0"/>
        <v>384.00006999999999</v>
      </c>
      <c r="F8" t="str">
        <f>wyniki!$A$14</f>
        <v>SP204 Warszawa</v>
      </c>
      <c r="J8" s="93" t="str">
        <f t="shared" si="1"/>
        <v>Bany Monika</v>
      </c>
      <c r="K8" s="77">
        <f>LARGE($E$2:$E$241,7)</f>
        <v>442.00060999999999</v>
      </c>
      <c r="L8" s="67">
        <f t="shared" si="2"/>
        <v>61</v>
      </c>
      <c r="M8" s="85" t="str">
        <f t="shared" si="3"/>
        <v>SP3 Piaseczno</v>
      </c>
      <c r="N8" s="39">
        <v>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2:31" ht="17.25" thickTop="1" thickBot="1">
      <c r="B9" t="str">
        <f>wyniki!B16</f>
        <v>Dasiewicz Barbara</v>
      </c>
      <c r="C9" s="19">
        <f>wyniki!I16</f>
        <v>409</v>
      </c>
      <c r="D9" s="18">
        <v>8.0000000000000007E-5</v>
      </c>
      <c r="E9" s="19">
        <f t="shared" si="0"/>
        <v>409.00008000000003</v>
      </c>
      <c r="F9" t="str">
        <f>wyniki!$A$14</f>
        <v>SP204 Warszawa</v>
      </c>
      <c r="J9" s="93" t="str">
        <f t="shared" si="1"/>
        <v>Krutkowska Amelia</v>
      </c>
      <c r="K9" s="77">
        <f>LARGE($E$2:$E$241,8)</f>
        <v>435.00051999999999</v>
      </c>
      <c r="L9" s="67">
        <f t="shared" si="2"/>
        <v>52</v>
      </c>
      <c r="M9" s="85" t="str">
        <f t="shared" si="3"/>
        <v>SP Podkowa Leśna</v>
      </c>
      <c r="N9" s="39">
        <v>8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2:31" ht="17.25" thickTop="1" thickBot="1">
      <c r="B10" t="str">
        <f>wyniki!B17</f>
        <v>Kowalska Antonina</v>
      </c>
      <c r="C10" s="19">
        <f>wyniki!I17</f>
        <v>411</v>
      </c>
      <c r="D10" s="18">
        <v>9.0000000000000006E-5</v>
      </c>
      <c r="E10" s="19">
        <f t="shared" si="0"/>
        <v>411.00009</v>
      </c>
      <c r="F10" t="str">
        <f>wyniki!$A$14</f>
        <v>SP204 Warszawa</v>
      </c>
      <c r="J10" s="93" t="str">
        <f t="shared" si="1"/>
        <v>Rogowska Maja</v>
      </c>
      <c r="K10" s="77">
        <f>LARGE($E$2:$E$241,9)</f>
        <v>434.00011000000001</v>
      </c>
      <c r="L10" s="67">
        <f t="shared" si="2"/>
        <v>11</v>
      </c>
      <c r="M10" s="85" t="str">
        <f t="shared" si="3"/>
        <v>SP204 Warszawa</v>
      </c>
      <c r="N10" s="39">
        <v>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2:31" ht="17.25" thickTop="1" thickBot="1">
      <c r="B11" t="str">
        <f>wyniki!B18</f>
        <v>Kowalska Maja</v>
      </c>
      <c r="C11" s="19">
        <f>wyniki!I18</f>
        <v>416</v>
      </c>
      <c r="D11" s="18">
        <v>1E-4</v>
      </c>
      <c r="E11" s="19">
        <f t="shared" si="0"/>
        <v>416.00009999999997</v>
      </c>
      <c r="F11" t="str">
        <f>wyniki!$A$14</f>
        <v>SP204 Warszawa</v>
      </c>
      <c r="J11" s="93" t="str">
        <f t="shared" si="1"/>
        <v>Tłoczkowska Marta</v>
      </c>
      <c r="K11" s="77">
        <f>LARGE($E$2:$E$241,10)</f>
        <v>433.00029000000001</v>
      </c>
      <c r="L11" s="67">
        <f t="shared" si="2"/>
        <v>29</v>
      </c>
      <c r="M11" s="85" t="str">
        <f t="shared" si="3"/>
        <v>SP2 Chorzele</v>
      </c>
      <c r="N11" s="39">
        <v>10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2:31" ht="17.25" thickTop="1" thickBot="1">
      <c r="B12" t="str">
        <f>wyniki!B19</f>
        <v>Rogowska Maja</v>
      </c>
      <c r="C12" s="19">
        <f>wyniki!I19</f>
        <v>434</v>
      </c>
      <c r="D12" s="18">
        <v>1.1E-4</v>
      </c>
      <c r="E12" s="19">
        <f t="shared" si="0"/>
        <v>434.00011000000001</v>
      </c>
      <c r="F12" t="str">
        <f>wyniki!$A$14</f>
        <v>SP204 Warszawa</v>
      </c>
      <c r="J12" s="93" t="str">
        <f t="shared" si="1"/>
        <v>Maj Amelia</v>
      </c>
      <c r="K12" s="77">
        <f>LARGE($E$2:$E$241,11)</f>
        <v>430.00015999999999</v>
      </c>
      <c r="L12" s="67">
        <f t="shared" si="2"/>
        <v>16</v>
      </c>
      <c r="M12" s="85" t="str">
        <f t="shared" si="3"/>
        <v>PSP 2 Radom</v>
      </c>
      <c r="N12" s="39">
        <v>11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2:31" ht="17.25" thickTop="1" thickBot="1">
      <c r="B13" t="str">
        <f>wyniki!B20</f>
        <v>Zarzycka Helena</v>
      </c>
      <c r="C13" s="19">
        <f>wyniki!I20</f>
        <v>462</v>
      </c>
      <c r="D13" s="18">
        <v>1.2E-4</v>
      </c>
      <c r="E13" s="19">
        <f t="shared" si="0"/>
        <v>462.00011999999998</v>
      </c>
      <c r="F13" t="str">
        <f>wyniki!$A$14</f>
        <v>SP204 Warszawa</v>
      </c>
      <c r="J13" s="93" t="str">
        <f t="shared" si="1"/>
        <v>Szymańska Joanna</v>
      </c>
      <c r="K13" s="77">
        <f>LARGE($E$2:$E$241,12)</f>
        <v>428.00027999999998</v>
      </c>
      <c r="L13" s="67">
        <f t="shared" si="2"/>
        <v>28</v>
      </c>
      <c r="M13" s="85" t="str">
        <f t="shared" si="3"/>
        <v>SP2 Chorzele</v>
      </c>
      <c r="N13" s="39">
        <v>12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2:31" ht="17.25" thickTop="1" thickBot="1">
      <c r="B14" t="str">
        <f>wyniki!B22</f>
        <v>Gawor Maria</v>
      </c>
      <c r="C14" s="19">
        <f>wyniki!I22</f>
        <v>385</v>
      </c>
      <c r="D14" s="18">
        <v>1.2999999999999999E-4</v>
      </c>
      <c r="E14" s="19">
        <f t="shared" si="0"/>
        <v>385.00013000000001</v>
      </c>
      <c r="F14" t="str">
        <f>wyniki!$A$21</f>
        <v>PSP 2 Radom</v>
      </c>
      <c r="J14" s="93" t="str">
        <f t="shared" si="1"/>
        <v>Burkiewicz Amelia</v>
      </c>
      <c r="K14" s="77">
        <f>LARGE($E$2:$E$241,13)</f>
        <v>424.00018999999998</v>
      </c>
      <c r="L14" s="67">
        <f t="shared" si="2"/>
        <v>19</v>
      </c>
      <c r="M14" s="85" t="str">
        <f t="shared" si="3"/>
        <v>SP2 Ostrów Maz.</v>
      </c>
      <c r="N14" s="39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2:31" ht="17.25" thickTop="1" thickBot="1">
      <c r="B15" t="str">
        <f>wyniki!B23</f>
        <v>Jakubowska Liliana</v>
      </c>
      <c r="C15" s="19">
        <f>wyniki!I23</f>
        <v>401</v>
      </c>
      <c r="D15" s="18">
        <v>1.3999999999999999E-4</v>
      </c>
      <c r="E15" s="19">
        <f t="shared" si="0"/>
        <v>401.00013999999999</v>
      </c>
      <c r="F15" t="str">
        <f>wyniki!$A$21</f>
        <v>PSP 2 Radom</v>
      </c>
      <c r="J15" s="93" t="str">
        <f t="shared" si="1"/>
        <v>Dobrowolska Nikola</v>
      </c>
      <c r="K15" s="77">
        <f>LARGE($E$2:$E$241,14)</f>
        <v>423.00067999999999</v>
      </c>
      <c r="L15" s="67">
        <f t="shared" si="2"/>
        <v>68</v>
      </c>
      <c r="M15" s="85" t="str">
        <f t="shared" si="3"/>
        <v>ZSP Jedlińsk</v>
      </c>
      <c r="N15" s="39">
        <v>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2:31" ht="17.25" thickTop="1" thickBot="1">
      <c r="B16" t="str">
        <f>wyniki!B24</f>
        <v>Kąca Alicja</v>
      </c>
      <c r="C16" s="19">
        <f>wyniki!I24</f>
        <v>418</v>
      </c>
      <c r="D16" s="18">
        <v>1.4999999999999999E-4</v>
      </c>
      <c r="E16" s="19">
        <f t="shared" si="0"/>
        <v>418.00015000000002</v>
      </c>
      <c r="F16" t="str">
        <f>wyniki!$A$21</f>
        <v>PSP 2 Radom</v>
      </c>
      <c r="J16" s="93" t="str">
        <f t="shared" si="1"/>
        <v>Macutkiewicz Wiktoria</v>
      </c>
      <c r="K16" s="77">
        <f>LARGE($E$2:$E$241,15)</f>
        <v>422.00053000000003</v>
      </c>
      <c r="L16" s="67">
        <f t="shared" si="2"/>
        <v>53</v>
      </c>
      <c r="M16" s="85" t="str">
        <f t="shared" si="3"/>
        <v>SP Podkowa Leśna</v>
      </c>
      <c r="N16" s="39">
        <v>15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7.25" thickTop="1" thickBot="1">
      <c r="B17" t="str">
        <f>wyniki!B25</f>
        <v>Maj Amelia</v>
      </c>
      <c r="C17" s="19">
        <f>wyniki!I25</f>
        <v>430</v>
      </c>
      <c r="D17" s="18">
        <v>1.6000000000000001E-4</v>
      </c>
      <c r="E17" s="19">
        <f t="shared" si="0"/>
        <v>430.00015999999999</v>
      </c>
      <c r="F17" t="str">
        <f>wyniki!$A$21</f>
        <v>PSP 2 Radom</v>
      </c>
      <c r="J17" s="93" t="str">
        <f t="shared" si="1"/>
        <v>Kolenda Zofia</v>
      </c>
      <c r="K17" s="77">
        <f>LARGE($E$2:$E$241,16)</f>
        <v>421.00051000000002</v>
      </c>
      <c r="L17" s="67">
        <f t="shared" si="2"/>
        <v>51</v>
      </c>
      <c r="M17" s="85" t="str">
        <f t="shared" si="3"/>
        <v>SP Podkowa Leśna</v>
      </c>
      <c r="N17" s="39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7.25" thickTop="1" thickBot="1">
      <c r="B18" t="str">
        <f>wyniki!B26</f>
        <v>Piotrowska Iga</v>
      </c>
      <c r="C18" s="19">
        <f>wyniki!I26</f>
        <v>344</v>
      </c>
      <c r="D18" s="18">
        <v>1.7000000000000001E-4</v>
      </c>
      <c r="E18" s="19">
        <f t="shared" si="0"/>
        <v>344.00017000000003</v>
      </c>
      <c r="F18" t="str">
        <f>wyniki!$A$21</f>
        <v>PSP 2 Radom</v>
      </c>
      <c r="J18" s="93" t="str">
        <f t="shared" si="1"/>
        <v>Rytel Emilia</v>
      </c>
      <c r="K18" s="77">
        <f>LARGE($E$2:$E$241,17)</f>
        <v>418.00047999999998</v>
      </c>
      <c r="L18" s="67">
        <f t="shared" si="2"/>
        <v>48</v>
      </c>
      <c r="M18" s="85" t="str">
        <f t="shared" si="3"/>
        <v>SP11 Siedlce</v>
      </c>
      <c r="N18" s="39">
        <v>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7.25" thickTop="1" thickBot="1">
      <c r="B19" t="str">
        <f>wyniki!B27</f>
        <v>Tyczyńska Lena</v>
      </c>
      <c r="C19" s="19">
        <f>wyniki!I27</f>
        <v>460</v>
      </c>
      <c r="D19" s="18">
        <v>1.8000000000000001E-4</v>
      </c>
      <c r="E19" s="19">
        <f t="shared" si="0"/>
        <v>460.00018</v>
      </c>
      <c r="F19" t="str">
        <f>wyniki!$A$21</f>
        <v>PSP 2 Radom</v>
      </c>
      <c r="J19" s="93" t="str">
        <f t="shared" si="1"/>
        <v>Zabadała Aleksandra</v>
      </c>
      <c r="K19" s="77">
        <f>LARGE($E$2:$E$241,18)</f>
        <v>418.00036999999998</v>
      </c>
      <c r="L19" s="67">
        <f t="shared" si="2"/>
        <v>37</v>
      </c>
      <c r="M19" s="85" t="str">
        <f t="shared" si="3"/>
        <v>SP2 Węgrów</v>
      </c>
      <c r="N19" s="39">
        <v>18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7.25" thickTop="1" thickBot="1">
      <c r="B20" t="str">
        <f>wyniki!B29</f>
        <v>Burkiewicz Amelia</v>
      </c>
      <c r="C20" s="19">
        <f>wyniki!I29</f>
        <v>424</v>
      </c>
      <c r="D20" s="18">
        <v>1.9000000000000001E-4</v>
      </c>
      <c r="E20" s="19">
        <f t="shared" si="0"/>
        <v>424.00018999999998</v>
      </c>
      <c r="F20" t="str">
        <f>wyniki!$A$28</f>
        <v>SP2 Ostrów Maz.</v>
      </c>
      <c r="J20" s="93" t="str">
        <f t="shared" si="1"/>
        <v>Kąca Alicja</v>
      </c>
      <c r="K20" s="77">
        <f>LARGE($E$2:$E$241,19)</f>
        <v>418.00015000000002</v>
      </c>
      <c r="L20" s="67">
        <f t="shared" si="2"/>
        <v>15</v>
      </c>
      <c r="M20" s="85" t="str">
        <f t="shared" si="3"/>
        <v>PSP 2 Radom</v>
      </c>
      <c r="N20" s="39">
        <v>19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7.25" thickTop="1" thickBot="1">
      <c r="B21" t="str">
        <f>wyniki!B30</f>
        <v>Kołakowska Gabriela</v>
      </c>
      <c r="C21" s="19">
        <f>wyniki!I30</f>
        <v>411</v>
      </c>
      <c r="D21" s="18">
        <v>2.0000000000000001E-4</v>
      </c>
      <c r="E21" s="19">
        <f t="shared" si="0"/>
        <v>411.00020000000001</v>
      </c>
      <c r="F21" t="str">
        <f>wyniki!$A$28</f>
        <v>SP2 Ostrów Maz.</v>
      </c>
      <c r="J21" s="93" t="str">
        <f t="shared" si="1"/>
        <v>Niedziółka Weronika</v>
      </c>
      <c r="K21" s="77">
        <f>LARGE($E$2:$E$241,20)</f>
        <v>417.00047000000001</v>
      </c>
      <c r="L21" s="67">
        <f t="shared" si="2"/>
        <v>47</v>
      </c>
      <c r="M21" s="85" t="str">
        <f t="shared" si="3"/>
        <v>SP11 Siedlce</v>
      </c>
      <c r="N21" s="39">
        <v>20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2:31" ht="17.25" thickTop="1" thickBot="1">
      <c r="B22" t="str">
        <f>wyniki!B31</f>
        <v>Niemyjska Aleksandra</v>
      </c>
      <c r="C22" s="19">
        <f>wyniki!I31</f>
        <v>365</v>
      </c>
      <c r="D22" s="18">
        <v>2.1000000000000001E-4</v>
      </c>
      <c r="E22" s="19">
        <f t="shared" si="0"/>
        <v>365.00020999999998</v>
      </c>
      <c r="F22" t="str">
        <f>wyniki!$A$28</f>
        <v>SP2 Ostrów Maz.</v>
      </c>
      <c r="J22" s="93" t="str">
        <f t="shared" si="1"/>
        <v>Kowalska Maja</v>
      </c>
      <c r="K22" s="77">
        <f>LARGE($E$2:$E$241,21)</f>
        <v>416.00009999999997</v>
      </c>
      <c r="L22" s="67">
        <f t="shared" si="2"/>
        <v>10</v>
      </c>
      <c r="M22" s="85" t="str">
        <f t="shared" si="3"/>
        <v>SP204 Warszawa</v>
      </c>
      <c r="N22" s="39">
        <v>21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17.25" thickTop="1" thickBot="1">
      <c r="B23" t="str">
        <f>wyniki!B32</f>
        <v>Paradukha Viktoria</v>
      </c>
      <c r="C23" s="19">
        <f>wyniki!I32</f>
        <v>396</v>
      </c>
      <c r="D23" s="18">
        <v>2.2000000000000001E-4</v>
      </c>
      <c r="E23" s="19">
        <f t="shared" si="0"/>
        <v>396.00022000000001</v>
      </c>
      <c r="F23" t="str">
        <f>wyniki!$A$28</f>
        <v>SP2 Ostrów Maz.</v>
      </c>
      <c r="J23" s="93" t="str">
        <f t="shared" si="1"/>
        <v>Pietruszka Aleksandra</v>
      </c>
      <c r="K23" s="77">
        <f>LARGE($E$2:$E$241,22)</f>
        <v>416.00004000000001</v>
      </c>
      <c r="L23" s="67">
        <f t="shared" si="2"/>
        <v>4</v>
      </c>
      <c r="M23" s="85" t="str">
        <f t="shared" si="3"/>
        <v>SP14 Warszawa</v>
      </c>
      <c r="N23" s="39">
        <v>22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7.25" thickTop="1" thickBot="1">
      <c r="B24" t="str">
        <f>wyniki!B33</f>
        <v>Wojsz Paulina</v>
      </c>
      <c r="C24" s="19">
        <f>wyniki!I33</f>
        <v>385</v>
      </c>
      <c r="D24" s="18">
        <v>2.3000000000000001E-4</v>
      </c>
      <c r="E24" s="19">
        <f t="shared" si="0"/>
        <v>385.00022999999999</v>
      </c>
      <c r="F24" t="str">
        <f>wyniki!$A$28</f>
        <v>SP2 Ostrów Maz.</v>
      </c>
      <c r="J24" s="93" t="str">
        <f t="shared" si="1"/>
        <v>Spiechowicz Lidia</v>
      </c>
      <c r="K24" s="77">
        <f>LARGE($E$2:$E$241,23)</f>
        <v>415.00063999999998</v>
      </c>
      <c r="L24" s="67">
        <f t="shared" si="2"/>
        <v>64</v>
      </c>
      <c r="M24" s="85" t="str">
        <f t="shared" si="3"/>
        <v>SP3 Piaseczno</v>
      </c>
      <c r="N24" s="39">
        <v>23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7.25" thickTop="1" thickBot="1">
      <c r="B25" t="str">
        <f>wyniki!B34</f>
        <v>Radgowska Maja</v>
      </c>
      <c r="C25" s="19">
        <f>wyniki!I34</f>
        <v>347</v>
      </c>
      <c r="D25" s="18">
        <v>2.4000000000000001E-4</v>
      </c>
      <c r="E25" s="19">
        <f t="shared" si="0"/>
        <v>347.00024000000002</v>
      </c>
      <c r="F25" t="str">
        <f>wyniki!$A$28</f>
        <v>SP2 Ostrów Maz.</v>
      </c>
      <c r="J25" s="93" t="str">
        <f t="shared" si="1"/>
        <v>Lubowiecka Nadia</v>
      </c>
      <c r="K25" s="77">
        <f>LARGE($E$2:$E$241,24)</f>
        <v>415.00027</v>
      </c>
      <c r="L25" s="67">
        <f t="shared" si="2"/>
        <v>27</v>
      </c>
      <c r="M25" s="85" t="str">
        <f t="shared" si="3"/>
        <v>SP2 Chorzele</v>
      </c>
      <c r="N25" s="39"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7.25" thickTop="1" thickBot="1">
      <c r="B26" t="str">
        <f>wyniki!B36</f>
        <v>Furman Alicja</v>
      </c>
      <c r="C26" s="19">
        <f>wyniki!I36</f>
        <v>403</v>
      </c>
      <c r="D26" s="18">
        <v>2.5000000000000001E-4</v>
      </c>
      <c r="E26" s="19">
        <f t="shared" si="0"/>
        <v>403.00024999999999</v>
      </c>
      <c r="F26" t="str">
        <f>wyniki!$A$35</f>
        <v>SP2 Chorzele</v>
      </c>
      <c r="J26" s="93" t="str">
        <f t="shared" si="1"/>
        <v>Borysiuk Gaja</v>
      </c>
      <c r="K26" s="77">
        <f>LARGE($E$2:$E$241,25)</f>
        <v>412.00062000000003</v>
      </c>
      <c r="L26" s="67">
        <f t="shared" si="2"/>
        <v>62</v>
      </c>
      <c r="M26" s="85" t="str">
        <f t="shared" si="3"/>
        <v>SP3 Piaseczno</v>
      </c>
      <c r="N26" s="39">
        <v>25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7.25" thickTop="1" thickBot="1">
      <c r="B27" t="str">
        <f>wyniki!B37</f>
        <v>Grabowska Maja</v>
      </c>
      <c r="C27" s="19">
        <f>wyniki!I37</f>
        <v>389</v>
      </c>
      <c r="D27" s="18">
        <v>2.5999999999999998E-4</v>
      </c>
      <c r="E27" s="19">
        <f t="shared" si="0"/>
        <v>389.00026000000003</v>
      </c>
      <c r="F27" t="str">
        <f>wyniki!$A$35</f>
        <v>SP2 Chorzele</v>
      </c>
      <c r="J27" s="93" t="str">
        <f t="shared" si="1"/>
        <v>Wachowiak Maja</v>
      </c>
      <c r="K27" s="77">
        <f>LARGE($E$2:$E$241,26)</f>
        <v>411.00033999999999</v>
      </c>
      <c r="L27" s="67">
        <f t="shared" si="2"/>
        <v>34</v>
      </c>
      <c r="M27" s="85" t="str">
        <f t="shared" si="3"/>
        <v>SP Bieniewice</v>
      </c>
      <c r="N27" s="39">
        <v>26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7.25" thickTop="1" thickBot="1">
      <c r="B28" t="str">
        <f>wyniki!B38</f>
        <v>Lubowiecka Nadia</v>
      </c>
      <c r="C28" s="19">
        <f>wyniki!I38</f>
        <v>415</v>
      </c>
      <c r="D28" s="18">
        <v>2.7E-4</v>
      </c>
      <c r="E28" s="19">
        <f t="shared" si="0"/>
        <v>415.00027</v>
      </c>
      <c r="F28" t="str">
        <f>wyniki!$A$35</f>
        <v>SP2 Chorzele</v>
      </c>
      <c r="J28" s="93" t="str">
        <f t="shared" si="1"/>
        <v>Kołakowska Gabriela</v>
      </c>
      <c r="K28" s="77">
        <f>LARGE($E$2:$E$241,27)</f>
        <v>411.00020000000001</v>
      </c>
      <c r="L28" s="67">
        <f t="shared" si="2"/>
        <v>20</v>
      </c>
      <c r="M28" s="85" t="str">
        <f t="shared" si="3"/>
        <v>SP2 Ostrów Maz.</v>
      </c>
      <c r="N28" s="39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7.25" thickTop="1" thickBot="1">
      <c r="B29" t="str">
        <f>wyniki!B39</f>
        <v>Szymańska Joanna</v>
      </c>
      <c r="C29" s="19">
        <f>wyniki!I39</f>
        <v>428</v>
      </c>
      <c r="D29" s="18">
        <v>2.7999999999999998E-4</v>
      </c>
      <c r="E29" s="19">
        <f t="shared" si="0"/>
        <v>428.00027999999998</v>
      </c>
      <c r="F29" t="str">
        <f>wyniki!$A$35</f>
        <v>SP2 Chorzele</v>
      </c>
      <c r="J29" s="93" t="str">
        <f t="shared" si="1"/>
        <v>Kowalska Antonina</v>
      </c>
      <c r="K29" s="77">
        <f>LARGE($E$2:$E$241,28)</f>
        <v>411.00009</v>
      </c>
      <c r="L29" s="67">
        <f t="shared" si="2"/>
        <v>9</v>
      </c>
      <c r="M29" s="85" t="str">
        <f t="shared" si="3"/>
        <v>SP204 Warszawa</v>
      </c>
      <c r="N29" s="39">
        <v>28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7.25" thickTop="1" thickBot="1">
      <c r="B30" t="str">
        <f>wyniki!B40</f>
        <v>Tłoczkowska Marta</v>
      </c>
      <c r="C30" s="19">
        <f>wyniki!I40</f>
        <v>433</v>
      </c>
      <c r="D30" s="18">
        <v>2.9E-4</v>
      </c>
      <c r="E30" s="19">
        <f t="shared" si="0"/>
        <v>433.00029000000001</v>
      </c>
      <c r="F30" t="str">
        <f>wyniki!$A$35</f>
        <v>SP2 Chorzele</v>
      </c>
      <c r="J30" s="93" t="str">
        <f t="shared" si="1"/>
        <v>Dłużewska Julia</v>
      </c>
      <c r="K30" s="77">
        <f>LARGE($E$2:$E$241,29)</f>
        <v>411.00002000000001</v>
      </c>
      <c r="L30" s="67">
        <f t="shared" si="2"/>
        <v>2</v>
      </c>
      <c r="M30" s="85" t="str">
        <f t="shared" si="3"/>
        <v>SP14 Warszawa</v>
      </c>
      <c r="N30" s="39">
        <v>29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7.25" thickTop="1" thickBot="1">
      <c r="B31" t="str">
        <f>wyniki!B41</f>
        <v>Woźniak Maja</v>
      </c>
      <c r="C31" s="19">
        <f>wyniki!I41</f>
        <v>395</v>
      </c>
      <c r="D31" s="18">
        <v>2.9999999999999997E-4</v>
      </c>
      <c r="E31" s="19">
        <f t="shared" si="0"/>
        <v>395.00029999999998</v>
      </c>
      <c r="F31" t="str">
        <f>wyniki!$A$35</f>
        <v>SP2 Chorzele</v>
      </c>
      <c r="J31" s="93" t="str">
        <f t="shared" si="1"/>
        <v>Gryz Amelia</v>
      </c>
      <c r="K31" s="77">
        <f>LARGE($E$2:$E$241,30)</f>
        <v>410.00069000000002</v>
      </c>
      <c r="L31" s="67">
        <f t="shared" si="2"/>
        <v>69</v>
      </c>
      <c r="M31" s="85" t="str">
        <f t="shared" si="3"/>
        <v>ZSP Jedlińsk</v>
      </c>
      <c r="N31" s="39">
        <v>30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7.25" thickTop="1" thickBot="1">
      <c r="B32" t="str">
        <f>wyniki!B43</f>
        <v>Borys Paulina</v>
      </c>
      <c r="C32" s="19">
        <f>wyniki!I43</f>
        <v>394</v>
      </c>
      <c r="D32" s="18">
        <v>3.1E-4</v>
      </c>
      <c r="E32" s="19">
        <f t="shared" si="0"/>
        <v>394.00031000000001</v>
      </c>
      <c r="F32" t="str">
        <f>wyniki!$A$42</f>
        <v>SP Bieniewice</v>
      </c>
      <c r="J32" s="93" t="str">
        <f t="shared" si="1"/>
        <v>Wąsożnik Zofia</v>
      </c>
      <c r="K32" s="77">
        <f>LARGE($E$2:$E$241,31)</f>
        <v>409.00040000000001</v>
      </c>
      <c r="L32" s="67">
        <f t="shared" si="2"/>
        <v>40</v>
      </c>
      <c r="M32" s="85" t="str">
        <f t="shared" si="3"/>
        <v>SP2 Węgrów</v>
      </c>
      <c r="N32" s="39">
        <v>31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2:31" ht="17.25" thickTop="1" thickBot="1">
      <c r="B33" t="str">
        <f>wyniki!B44</f>
        <v>Krzycka Joanna</v>
      </c>
      <c r="C33" s="19">
        <f>wyniki!I44</f>
        <v>390</v>
      </c>
      <c r="D33" s="18">
        <v>3.2000000000000003E-4</v>
      </c>
      <c r="E33" s="19">
        <f t="shared" si="0"/>
        <v>390.00031999999999</v>
      </c>
      <c r="F33" t="str">
        <f>wyniki!$A$42</f>
        <v>SP Bieniewice</v>
      </c>
      <c r="J33" s="93" t="str">
        <f t="shared" si="1"/>
        <v>Dasiewicz Barbara</v>
      </c>
      <c r="K33" s="77">
        <f>LARGE($E$2:$E$241,32)</f>
        <v>409.00008000000003</v>
      </c>
      <c r="L33" s="67">
        <f t="shared" si="2"/>
        <v>8</v>
      </c>
      <c r="M33" s="85" t="str">
        <f t="shared" si="3"/>
        <v>SP204 Warszawa</v>
      </c>
      <c r="N33" s="39">
        <v>32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1" ht="17.25" thickTop="1" thickBot="1">
      <c r="B34" t="str">
        <f>wyniki!B45</f>
        <v>Obrębska Maja</v>
      </c>
      <c r="C34" s="19">
        <f>wyniki!I45</f>
        <v>346</v>
      </c>
      <c r="D34" s="18">
        <v>3.3E-4</v>
      </c>
      <c r="E34" s="19">
        <f t="shared" si="0"/>
        <v>346.00033000000002</v>
      </c>
      <c r="F34" t="str">
        <f>wyniki!$A$42</f>
        <v>SP Bieniewice</v>
      </c>
      <c r="J34" s="93" t="str">
        <f t="shared" si="1"/>
        <v>Walczak Łucja</v>
      </c>
      <c r="K34" s="77">
        <f>LARGE($E$2:$E$241,33)</f>
        <v>408.00069999999999</v>
      </c>
      <c r="L34" s="67">
        <f t="shared" si="2"/>
        <v>70</v>
      </c>
      <c r="M34" s="85" t="str">
        <f t="shared" si="3"/>
        <v>ZSP Jedlińsk</v>
      </c>
      <c r="N34" s="39">
        <v>33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1" ht="17.25" thickTop="1" thickBot="1">
      <c r="B35" t="str">
        <f>wyniki!B46</f>
        <v>Wachowiak Maja</v>
      </c>
      <c r="C35" s="19">
        <f>wyniki!I46</f>
        <v>411</v>
      </c>
      <c r="D35" s="18">
        <v>3.4000000000000002E-4</v>
      </c>
      <c r="E35" s="19">
        <f t="shared" si="0"/>
        <v>411.00033999999999</v>
      </c>
      <c r="F35" t="str">
        <f>wyniki!$A$42</f>
        <v>SP Bieniewice</v>
      </c>
      <c r="J35" s="93" t="str">
        <f t="shared" si="1"/>
        <v>Adamczyk Michalina</v>
      </c>
      <c r="K35" s="77">
        <f>LARGE($E$2:$E$241,34)</f>
        <v>404.00067000000001</v>
      </c>
      <c r="L35" s="67">
        <f t="shared" si="2"/>
        <v>67</v>
      </c>
      <c r="M35" s="85" t="str">
        <f t="shared" si="3"/>
        <v>ZSP Jedlińsk</v>
      </c>
      <c r="N35" s="39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ht="17.25" thickTop="1" thickBot="1">
      <c r="B36" t="str">
        <f>wyniki!B47</f>
        <v>Wolska Julia</v>
      </c>
      <c r="C36" s="19">
        <f>wyniki!I47</f>
        <v>397</v>
      </c>
      <c r="D36" s="18">
        <v>3.5E-4</v>
      </c>
      <c r="E36" s="19">
        <f t="shared" si="0"/>
        <v>397.00035000000003</v>
      </c>
      <c r="F36" t="str">
        <f>wyniki!$A$42</f>
        <v>SP Bieniewice</v>
      </c>
      <c r="J36" s="93" t="str">
        <f t="shared" si="1"/>
        <v>Hajdenrach Antonina</v>
      </c>
      <c r="K36" s="77">
        <f>LARGE($E$2:$E$241,35)</f>
        <v>404.00049999999999</v>
      </c>
      <c r="L36" s="67">
        <f t="shared" si="2"/>
        <v>50</v>
      </c>
      <c r="M36" s="85" t="str">
        <f t="shared" si="3"/>
        <v>SP Podkowa Leśna</v>
      </c>
      <c r="N36" s="39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7.25" thickTop="1" thickBot="1">
      <c r="B37" t="str">
        <f>wyniki!B48</f>
        <v>Zasowska Zofia</v>
      </c>
      <c r="C37" s="19">
        <f>wyniki!I48</f>
        <v>380</v>
      </c>
      <c r="D37" s="18">
        <v>3.6000000000000002E-4</v>
      </c>
      <c r="E37" s="19">
        <f t="shared" si="0"/>
        <v>380.00036</v>
      </c>
      <c r="F37" t="str">
        <f>wyniki!$A$42</f>
        <v>SP Bieniewice</v>
      </c>
      <c r="J37" s="93" t="str">
        <f t="shared" si="1"/>
        <v>Mościcka Gabriela</v>
      </c>
      <c r="K37" s="77">
        <f>LARGE($E$2:$E$241,36)</f>
        <v>404.00045999999998</v>
      </c>
      <c r="L37" s="67">
        <f t="shared" si="2"/>
        <v>46</v>
      </c>
      <c r="M37" s="85" t="str">
        <f t="shared" si="3"/>
        <v>SP11 Siedlce</v>
      </c>
      <c r="N37" s="39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1" ht="17.25" thickTop="1" thickBot="1">
      <c r="B38" t="str">
        <f>wyniki!B50</f>
        <v>Zabadała Aleksandra</v>
      </c>
      <c r="C38" s="19">
        <f>wyniki!I50</f>
        <v>418</v>
      </c>
      <c r="D38" s="18">
        <v>3.6999999999999999E-4</v>
      </c>
      <c r="E38" s="19">
        <f t="shared" si="0"/>
        <v>418.00036999999998</v>
      </c>
      <c r="F38" t="str">
        <f>wyniki!$A$49</f>
        <v>SP2 Węgrów</v>
      </c>
      <c r="J38" s="93" t="str">
        <f t="shared" si="1"/>
        <v>Furman Alicja</v>
      </c>
      <c r="K38" s="77">
        <f>LARGE($E$2:$E$241,37)</f>
        <v>403.00024999999999</v>
      </c>
      <c r="L38" s="67">
        <f t="shared" si="2"/>
        <v>25</v>
      </c>
      <c r="M38" s="85" t="str">
        <f t="shared" si="3"/>
        <v>SP2 Chorzele</v>
      </c>
      <c r="N38" s="39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7.25" thickTop="1" thickBot="1">
      <c r="B39" t="str">
        <f>wyniki!B51</f>
        <v>Jachowicz Roksana</v>
      </c>
      <c r="C39" s="19">
        <f>wyniki!I51</f>
        <v>470</v>
      </c>
      <c r="D39" s="18">
        <v>3.8000000000000002E-4</v>
      </c>
      <c r="E39" s="19">
        <f t="shared" si="0"/>
        <v>470.00038000000001</v>
      </c>
      <c r="F39" t="str">
        <f>wyniki!$A$49</f>
        <v>SP2 Węgrów</v>
      </c>
      <c r="J39" s="93" t="str">
        <f t="shared" si="1"/>
        <v>Przepiórka Julia</v>
      </c>
      <c r="K39" s="77">
        <f>LARGE($E$2:$E$241,38)</f>
        <v>402.00058999999999</v>
      </c>
      <c r="L39" s="67">
        <f t="shared" si="2"/>
        <v>59</v>
      </c>
      <c r="M39" s="85" t="str">
        <f t="shared" si="3"/>
        <v>ZSP Lesznowola</v>
      </c>
      <c r="N39" s="39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7.25" thickTop="1" thickBot="1">
      <c r="B40" t="str">
        <f>wyniki!B52</f>
        <v>Mikołajewska Iga</v>
      </c>
      <c r="C40" s="19">
        <f>wyniki!I52</f>
        <v>351</v>
      </c>
      <c r="D40" s="18">
        <v>3.8999999999999999E-4</v>
      </c>
      <c r="E40" s="19">
        <f t="shared" si="0"/>
        <v>351.00038999999998</v>
      </c>
      <c r="F40" t="str">
        <f>wyniki!$A$49</f>
        <v>SP2 Węgrów</v>
      </c>
      <c r="J40" s="93" t="str">
        <f t="shared" si="1"/>
        <v>Jakubowska Liliana</v>
      </c>
      <c r="K40" s="77">
        <f>LARGE($E$2:$E$241,39)</f>
        <v>401.00013999999999</v>
      </c>
      <c r="L40" s="67">
        <f t="shared" si="2"/>
        <v>14</v>
      </c>
      <c r="M40" s="85" t="str">
        <f t="shared" si="3"/>
        <v>PSP 2 Radom</v>
      </c>
      <c r="N40" s="39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7.25" thickTop="1" thickBot="1">
      <c r="B41" t="str">
        <f>wyniki!B53</f>
        <v>Wąsożnik Zofia</v>
      </c>
      <c r="C41" s="19">
        <f>wyniki!I53</f>
        <v>409</v>
      </c>
      <c r="D41" s="18">
        <v>4.0000000000000002E-4</v>
      </c>
      <c r="E41" s="19">
        <f t="shared" si="0"/>
        <v>409.00040000000001</v>
      </c>
      <c r="F41" t="str">
        <f>wyniki!$A$49</f>
        <v>SP2 Węgrów</v>
      </c>
      <c r="J41" s="93" t="str">
        <f t="shared" si="1"/>
        <v>Glegoła Paulia</v>
      </c>
      <c r="K41" s="77">
        <f>LARGE($E$2:$E$241,40)</f>
        <v>400.00002999999998</v>
      </c>
      <c r="L41" s="67">
        <f t="shared" si="2"/>
        <v>3</v>
      </c>
      <c r="M41" s="85" t="str">
        <f t="shared" si="3"/>
        <v>SP14 Warszawa</v>
      </c>
      <c r="N41" s="39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7.25" thickTop="1" thickBot="1">
      <c r="B42" t="str">
        <f>wyniki!B54</f>
        <v>Wrzeszcz Anna</v>
      </c>
      <c r="C42" s="19">
        <f>wyniki!I54</f>
        <v>394</v>
      </c>
      <c r="D42" s="18">
        <v>4.0999999999999999E-4</v>
      </c>
      <c r="E42" s="19">
        <f t="shared" si="0"/>
        <v>394.00040999999999</v>
      </c>
      <c r="F42" t="str">
        <f>wyniki!$A$49</f>
        <v>SP2 Węgrów</v>
      </c>
      <c r="J42" s="93" t="str">
        <f t="shared" si="1"/>
        <v>Wolska Julia</v>
      </c>
      <c r="K42" s="77">
        <f>LARGE($E$2:$E$241,41)</f>
        <v>397.00035000000003</v>
      </c>
      <c r="L42" s="67">
        <f t="shared" si="2"/>
        <v>35</v>
      </c>
      <c r="M42" s="85" t="str">
        <f t="shared" si="3"/>
        <v>SP Bieniewice</v>
      </c>
      <c r="N42" s="39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7.25" thickTop="1" thickBot="1">
      <c r="B43" t="str">
        <f>wyniki!B55</f>
        <v>Kmieć Zuzanna</v>
      </c>
      <c r="C43" s="19">
        <f>wyniki!I55</f>
        <v>285</v>
      </c>
      <c r="D43" s="18">
        <v>4.2000000000000002E-4</v>
      </c>
      <c r="E43" s="19">
        <f t="shared" si="0"/>
        <v>285.00042000000002</v>
      </c>
      <c r="F43" t="str">
        <f>wyniki!$A$49</f>
        <v>SP2 Węgrów</v>
      </c>
      <c r="J43" s="93" t="str">
        <f t="shared" si="1"/>
        <v>Paradukha Viktoria</v>
      </c>
      <c r="K43" s="77">
        <f>LARGE($E$2:$E$241,42)</f>
        <v>396.00022000000001</v>
      </c>
      <c r="L43" s="67">
        <f t="shared" si="2"/>
        <v>22</v>
      </c>
      <c r="M43" s="85" t="str">
        <f t="shared" si="3"/>
        <v>SP2 Ostrów Maz.</v>
      </c>
      <c r="N43" s="39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7.25" thickTop="1" thickBot="1">
      <c r="B44" t="str">
        <f>wyniki!B57</f>
        <v>Chromińska Maja</v>
      </c>
      <c r="C44" s="19">
        <f>wyniki!I57</f>
        <v>466</v>
      </c>
      <c r="D44" s="18">
        <v>4.2999999999999999E-4</v>
      </c>
      <c r="E44" s="19">
        <f t="shared" si="0"/>
        <v>466.00042999999999</v>
      </c>
      <c r="F44" t="str">
        <f>wyniki!$A$56</f>
        <v>SP11 Siedlce</v>
      </c>
      <c r="J44" s="93" t="str">
        <f t="shared" si="1"/>
        <v>Woźniak Maja</v>
      </c>
      <c r="K44" s="77">
        <f>LARGE($E$2:$E$241,43)</f>
        <v>395.00029999999998</v>
      </c>
      <c r="L44" s="67">
        <f t="shared" si="2"/>
        <v>30</v>
      </c>
      <c r="M44" s="85" t="str">
        <f t="shared" si="3"/>
        <v>SP2 Chorzele</v>
      </c>
      <c r="N44" s="39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7.25" thickTop="1" thickBot="1">
      <c r="B45" t="str">
        <f>wyniki!B58</f>
        <v>Fiuk Julia</v>
      </c>
      <c r="C45" s="19">
        <f>wyniki!I58</f>
        <v>390</v>
      </c>
      <c r="D45" s="18">
        <v>4.4000000000000002E-4</v>
      </c>
      <c r="E45" s="19">
        <f t="shared" si="0"/>
        <v>390.00044000000003</v>
      </c>
      <c r="F45" t="str">
        <f>wyniki!$A$56</f>
        <v>SP11 Siedlce</v>
      </c>
      <c r="J45" s="93" t="str">
        <f t="shared" si="1"/>
        <v>Wikalińska Maria</v>
      </c>
      <c r="K45" s="77">
        <f>LARGE($E$2:$E$241,44)</f>
        <v>395.00006000000002</v>
      </c>
      <c r="L45" s="67">
        <f t="shared" si="2"/>
        <v>6</v>
      </c>
      <c r="M45" s="85" t="str">
        <f t="shared" si="3"/>
        <v>SP14 Warszawa</v>
      </c>
      <c r="N45" s="39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7.25" thickTop="1" thickBot="1">
      <c r="B46" t="str">
        <f>wyniki!B59</f>
        <v>Kowal Natalia</v>
      </c>
      <c r="C46" s="19">
        <f>wyniki!I59</f>
        <v>370</v>
      </c>
      <c r="D46" s="18">
        <v>4.4999999999999999E-4</v>
      </c>
      <c r="E46" s="19">
        <f t="shared" si="0"/>
        <v>370.00045</v>
      </c>
      <c r="F46" t="str">
        <f>wyniki!$A$56</f>
        <v>SP11 Siedlce</v>
      </c>
      <c r="J46" s="93" t="str">
        <f t="shared" si="1"/>
        <v>Wrzeszcz Anna</v>
      </c>
      <c r="K46" s="77">
        <f>LARGE($E$2:$E$241,45)</f>
        <v>394.00040999999999</v>
      </c>
      <c r="L46" s="67">
        <f t="shared" si="2"/>
        <v>41</v>
      </c>
      <c r="M46" s="85" t="str">
        <f t="shared" si="3"/>
        <v>SP2 Węgrów</v>
      </c>
      <c r="N46" s="39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1" ht="17.25" thickTop="1" thickBot="1">
      <c r="B47" t="str">
        <f>wyniki!B60</f>
        <v>Mościcka Gabriela</v>
      </c>
      <c r="C47" s="19">
        <f>wyniki!I60</f>
        <v>404</v>
      </c>
      <c r="D47" s="18">
        <v>4.6000000000000001E-4</v>
      </c>
      <c r="E47" s="19">
        <f t="shared" si="0"/>
        <v>404.00045999999998</v>
      </c>
      <c r="F47" t="str">
        <f>wyniki!$A$56</f>
        <v>SP11 Siedlce</v>
      </c>
      <c r="J47" s="93" t="str">
        <f t="shared" si="1"/>
        <v>Borys Paulina</v>
      </c>
      <c r="K47" s="77">
        <f>LARGE($E$2:$E$241,46)</f>
        <v>394.00031000000001</v>
      </c>
      <c r="L47" s="67">
        <f t="shared" si="2"/>
        <v>31</v>
      </c>
      <c r="M47" s="85" t="str">
        <f t="shared" si="3"/>
        <v>SP Bieniewice</v>
      </c>
      <c r="N47" s="39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7.25" thickTop="1" thickBot="1">
      <c r="B48" t="str">
        <f>wyniki!B61</f>
        <v>Niedziółka Weronika</v>
      </c>
      <c r="C48" s="19">
        <f>wyniki!I61</f>
        <v>417</v>
      </c>
      <c r="D48" s="18">
        <v>4.6999999999999999E-4</v>
      </c>
      <c r="E48" s="19">
        <f t="shared" si="0"/>
        <v>417.00047000000001</v>
      </c>
      <c r="F48" t="str">
        <f>wyniki!$A$56</f>
        <v>SP11 Siedlce</v>
      </c>
      <c r="J48" s="93" t="str">
        <f t="shared" si="1"/>
        <v>Żaczek Nikola</v>
      </c>
      <c r="K48" s="77">
        <f>LARGE($E$2:$E$241,47)</f>
        <v>392.00072</v>
      </c>
      <c r="L48" s="67">
        <f t="shared" si="2"/>
        <v>72</v>
      </c>
      <c r="M48" s="85" t="str">
        <f t="shared" si="3"/>
        <v>ZSP Jedlińsk</v>
      </c>
      <c r="N48" s="39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2:31" ht="17.25" thickTop="1" thickBot="1">
      <c r="B49" t="str">
        <f>wyniki!B62</f>
        <v>Rytel Emilia</v>
      </c>
      <c r="C49" s="19">
        <f>wyniki!I62</f>
        <v>418</v>
      </c>
      <c r="D49" s="18">
        <v>4.8000000000000001E-4</v>
      </c>
      <c r="E49" s="19">
        <f t="shared" si="0"/>
        <v>418.00047999999998</v>
      </c>
      <c r="F49" t="str">
        <f>wyniki!$A$56</f>
        <v>SP11 Siedlce</v>
      </c>
      <c r="J49" s="93" t="str">
        <f t="shared" si="1"/>
        <v>Pazio Zofia</v>
      </c>
      <c r="K49" s="77">
        <f>LARGE($E$2:$E$241,48)</f>
        <v>392.00058000000001</v>
      </c>
      <c r="L49" s="67">
        <f t="shared" si="2"/>
        <v>58</v>
      </c>
      <c r="M49" s="85" t="str">
        <f t="shared" si="3"/>
        <v>ZSP Lesznowola</v>
      </c>
      <c r="N49" s="39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7.25" thickTop="1" thickBot="1">
      <c r="B50" t="str">
        <f>wyniki!B64</f>
        <v>Bąbiak Gabriela</v>
      </c>
      <c r="C50" s="19">
        <f>wyniki!I64</f>
        <v>368</v>
      </c>
      <c r="D50" s="18">
        <v>4.8999999999999998E-4</v>
      </c>
      <c r="E50" s="19">
        <f t="shared" si="0"/>
        <v>368.00049000000001</v>
      </c>
      <c r="F50" t="str">
        <f>wyniki!$A$63</f>
        <v>SP Podkowa Leśna</v>
      </c>
      <c r="J50" s="93" t="str">
        <f t="shared" si="1"/>
        <v>Fiuk Julia</v>
      </c>
      <c r="K50" s="77">
        <f>LARGE($E$2:$E$241,49)</f>
        <v>390.00044000000003</v>
      </c>
      <c r="L50" s="67">
        <f t="shared" si="2"/>
        <v>44</v>
      </c>
      <c r="M50" s="85" t="str">
        <f t="shared" si="3"/>
        <v>SP11 Siedlce</v>
      </c>
      <c r="N50" s="39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7.25" thickTop="1" thickBot="1">
      <c r="B51" t="str">
        <f>wyniki!B65</f>
        <v>Hajdenrach Antonina</v>
      </c>
      <c r="C51" s="19">
        <f>wyniki!I65</f>
        <v>404</v>
      </c>
      <c r="D51" s="18">
        <v>5.0000000000000001E-4</v>
      </c>
      <c r="E51" s="19">
        <f t="shared" si="0"/>
        <v>404.00049999999999</v>
      </c>
      <c r="F51" t="str">
        <f>wyniki!$A$63</f>
        <v>SP Podkowa Leśna</v>
      </c>
      <c r="J51" s="93" t="str">
        <f t="shared" si="1"/>
        <v>Krzycka Joanna</v>
      </c>
      <c r="K51" s="77">
        <f>LARGE($E$2:$E$241,50)</f>
        <v>390.00031999999999</v>
      </c>
      <c r="L51" s="67">
        <f t="shared" si="2"/>
        <v>32</v>
      </c>
      <c r="M51" s="85" t="str">
        <f t="shared" si="3"/>
        <v>SP Bieniewice</v>
      </c>
      <c r="N51" s="39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7.25" thickTop="1" thickBot="1">
      <c r="B52" t="str">
        <f>wyniki!B66</f>
        <v>Kolenda Zofia</v>
      </c>
      <c r="C52" s="19">
        <f>wyniki!I66</f>
        <v>421</v>
      </c>
      <c r="D52" s="18">
        <v>5.1000000000000004E-4</v>
      </c>
      <c r="E52" s="19">
        <f t="shared" si="0"/>
        <v>421.00051000000002</v>
      </c>
      <c r="F52" t="str">
        <f>wyniki!$A$63</f>
        <v>SP Podkowa Leśna</v>
      </c>
      <c r="J52" s="93" t="str">
        <f t="shared" si="1"/>
        <v>Grabowska Maja</v>
      </c>
      <c r="K52" s="77">
        <f>LARGE($E$2:$E$241,51)</f>
        <v>389.00026000000003</v>
      </c>
      <c r="L52" s="67">
        <f t="shared" si="2"/>
        <v>26</v>
      </c>
      <c r="M52" s="85" t="str">
        <f t="shared" si="3"/>
        <v>SP2 Chorzele</v>
      </c>
      <c r="N52" s="39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7.25" thickTop="1" thickBot="1">
      <c r="B53" t="str">
        <f>wyniki!B67</f>
        <v>Krutkowska Amelia</v>
      </c>
      <c r="C53" s="19">
        <f>wyniki!I67</f>
        <v>435</v>
      </c>
      <c r="D53" s="18">
        <v>5.1999999999999995E-4</v>
      </c>
      <c r="E53" s="19">
        <f t="shared" si="0"/>
        <v>435.00051999999999</v>
      </c>
      <c r="F53" t="str">
        <f>wyniki!$A$63</f>
        <v>SP Podkowa Leśna</v>
      </c>
      <c r="J53" s="93" t="str">
        <f t="shared" si="1"/>
        <v>Wojsz Paulina</v>
      </c>
      <c r="K53" s="77">
        <f>LARGE($E$2:$E$241,52)</f>
        <v>385.00022999999999</v>
      </c>
      <c r="L53" s="67">
        <f t="shared" si="2"/>
        <v>23</v>
      </c>
      <c r="M53" s="85" t="str">
        <f t="shared" si="3"/>
        <v>SP2 Ostrów Maz.</v>
      </c>
      <c r="N53" s="39">
        <v>52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7.25" thickTop="1" thickBot="1">
      <c r="B54" t="str">
        <f>wyniki!B68</f>
        <v>Macutkiewicz Wiktoria</v>
      </c>
      <c r="C54" s="19">
        <f>wyniki!I68</f>
        <v>422</v>
      </c>
      <c r="D54" s="18">
        <v>5.2999999999999998E-4</v>
      </c>
      <c r="E54" s="19">
        <f t="shared" si="0"/>
        <v>422.00053000000003</v>
      </c>
      <c r="F54" t="str">
        <f>wyniki!$A$63</f>
        <v>SP Podkowa Leśna</v>
      </c>
      <c r="J54" s="93" t="str">
        <f t="shared" si="1"/>
        <v>Gawor Maria</v>
      </c>
      <c r="K54" s="77">
        <f>LARGE($E$2:$E$241,53)</f>
        <v>385.00013000000001</v>
      </c>
      <c r="L54" s="67">
        <f t="shared" si="2"/>
        <v>13</v>
      </c>
      <c r="M54" s="85" t="str">
        <f t="shared" si="3"/>
        <v>PSP 2 Radom</v>
      </c>
      <c r="N54" s="39">
        <v>53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7.25" thickTop="1" thickBot="1">
      <c r="B55" t="str">
        <f>wyniki!B69</f>
        <v>Tryzno Alicja</v>
      </c>
      <c r="C55" s="19">
        <f>wyniki!I69</f>
        <v>476</v>
      </c>
      <c r="D55" s="18">
        <v>5.4000000000000001E-4</v>
      </c>
      <c r="E55" s="19">
        <f t="shared" si="0"/>
        <v>476.00054</v>
      </c>
      <c r="F55" t="str">
        <f>wyniki!$A$63</f>
        <v>SP Podkowa Leśna</v>
      </c>
      <c r="J55" s="93" t="str">
        <f t="shared" si="1"/>
        <v>Żaczek Maja</v>
      </c>
      <c r="K55" s="77">
        <f>LARGE($E$2:$E$241,54)</f>
        <v>384.00071000000003</v>
      </c>
      <c r="L55" s="67">
        <f t="shared" si="2"/>
        <v>71</v>
      </c>
      <c r="M55" s="85" t="str">
        <f t="shared" si="3"/>
        <v>ZSP Jedlińsk</v>
      </c>
      <c r="N55" s="39">
        <v>54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7.25" thickTop="1" thickBot="1">
      <c r="B56" t="str">
        <f>wyniki!B71</f>
        <v>Brzezińska Kinga</v>
      </c>
      <c r="C56" s="19">
        <f>wyniki!I71</f>
        <v>362</v>
      </c>
      <c r="D56" s="18">
        <v>5.5000000000000003E-4</v>
      </c>
      <c r="E56" s="19">
        <f t="shared" si="0"/>
        <v>362.00054999999998</v>
      </c>
      <c r="F56" t="str">
        <f>wyniki!$A$70</f>
        <v>ZSP Lesznowola</v>
      </c>
      <c r="J56" s="93" t="str">
        <f t="shared" si="1"/>
        <v>Cisowska Lena</v>
      </c>
      <c r="K56" s="77">
        <f>LARGE($E$2:$E$241,55)</f>
        <v>384.00006999999999</v>
      </c>
      <c r="L56" s="67">
        <f t="shared" si="2"/>
        <v>7</v>
      </c>
      <c r="M56" s="85" t="str">
        <f t="shared" si="3"/>
        <v>SP204 Warszawa</v>
      </c>
      <c r="N56" s="39">
        <v>55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7.25" thickTop="1" thickBot="1">
      <c r="B57" t="str">
        <f>wyniki!B72</f>
        <v>Marcisz Anna</v>
      </c>
      <c r="C57" s="19">
        <f>wyniki!I72</f>
        <v>350</v>
      </c>
      <c r="D57" s="18">
        <v>5.5999999999999995E-4</v>
      </c>
      <c r="E57" s="19">
        <f t="shared" si="0"/>
        <v>350.00056000000001</v>
      </c>
      <c r="F57" t="str">
        <f>wyniki!$A$70</f>
        <v>ZSP Lesznowola</v>
      </c>
      <c r="J57" s="93" t="str">
        <f t="shared" si="1"/>
        <v>Sołtan Amelia</v>
      </c>
      <c r="K57" s="77">
        <f>LARGE($E$2:$E$241,56)</f>
        <v>380.00063</v>
      </c>
      <c r="L57" s="67">
        <f t="shared" si="2"/>
        <v>63</v>
      </c>
      <c r="M57" s="85" t="str">
        <f t="shared" si="3"/>
        <v>SP3 Piaseczno</v>
      </c>
      <c r="N57" s="39">
        <v>56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7.25" thickTop="1" thickBot="1">
      <c r="B58" t="str">
        <f>wyniki!B73</f>
        <v>Mariańska Magdalena</v>
      </c>
      <c r="C58" s="19">
        <f>wyniki!I73</f>
        <v>306</v>
      </c>
      <c r="D58" s="18">
        <v>5.6999999999999998E-4</v>
      </c>
      <c r="E58" s="19">
        <f t="shared" si="0"/>
        <v>306.00056999999998</v>
      </c>
      <c r="F58" t="str">
        <f>wyniki!$A$70</f>
        <v>ZSP Lesznowola</v>
      </c>
      <c r="J58" s="93" t="str">
        <f t="shared" si="1"/>
        <v>Zasowska Zofia</v>
      </c>
      <c r="K58" s="77">
        <f>LARGE($E$2:$E$241,57)</f>
        <v>380.00036</v>
      </c>
      <c r="L58" s="67">
        <f t="shared" si="2"/>
        <v>36</v>
      </c>
      <c r="M58" s="85" t="str">
        <f t="shared" si="3"/>
        <v>SP Bieniewice</v>
      </c>
      <c r="N58" s="39">
        <v>57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7.25" thickTop="1" thickBot="1">
      <c r="B59" t="str">
        <f>wyniki!B74</f>
        <v>Pazio Zofia</v>
      </c>
      <c r="C59" s="19">
        <f>wyniki!I74</f>
        <v>392</v>
      </c>
      <c r="D59" s="18">
        <v>5.8E-4</v>
      </c>
      <c r="E59" s="19">
        <f t="shared" si="0"/>
        <v>392.00058000000001</v>
      </c>
      <c r="F59" t="str">
        <f>wyniki!$A$70</f>
        <v>ZSP Lesznowola</v>
      </c>
      <c r="J59" s="93" t="str">
        <f t="shared" si="1"/>
        <v>Wilczyńska Maria</v>
      </c>
      <c r="K59" s="77">
        <f>LARGE($E$2:$E$241,58)</f>
        <v>374.00065999999998</v>
      </c>
      <c r="L59" s="67">
        <f t="shared" si="2"/>
        <v>66</v>
      </c>
      <c r="M59" s="85" t="str">
        <f t="shared" si="3"/>
        <v>SP3 Piaseczno</v>
      </c>
      <c r="N59" s="39">
        <v>58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2:31" ht="17.25" thickTop="1" thickBot="1">
      <c r="B60" t="str">
        <f>wyniki!B75</f>
        <v>Przepiórka Julia</v>
      </c>
      <c r="C60" s="19">
        <f>wyniki!I75</f>
        <v>402</v>
      </c>
      <c r="D60" s="18">
        <v>5.9000000000000003E-4</v>
      </c>
      <c r="E60" s="19">
        <f t="shared" si="0"/>
        <v>402.00058999999999</v>
      </c>
      <c r="F60" t="str">
        <f>wyniki!$A$70</f>
        <v>ZSP Lesznowola</v>
      </c>
      <c r="J60" s="93" t="str">
        <f t="shared" si="1"/>
        <v>Szulc Amelia</v>
      </c>
      <c r="K60" s="77">
        <f>LARGE($E$2:$E$241,59)</f>
        <v>370.00065000000001</v>
      </c>
      <c r="L60" s="67">
        <f t="shared" si="2"/>
        <v>65</v>
      </c>
      <c r="M60" s="85" t="str">
        <f t="shared" si="3"/>
        <v>SP3 Piaseczno</v>
      </c>
      <c r="N60" s="39">
        <v>59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7.25" thickTop="1" thickBot="1">
      <c r="B61" t="str">
        <f>wyniki!B76</f>
        <v>Szablewska Lena</v>
      </c>
      <c r="C61" s="19">
        <f>wyniki!I76</f>
        <v>354</v>
      </c>
      <c r="D61" s="18">
        <v>5.9999999999999995E-4</v>
      </c>
      <c r="E61" s="19">
        <f t="shared" si="0"/>
        <v>354.00060000000002</v>
      </c>
      <c r="F61" t="str">
        <f>wyniki!$A$70</f>
        <v>ZSP Lesznowola</v>
      </c>
      <c r="J61" s="93" t="str">
        <f t="shared" si="1"/>
        <v>Kowal Natalia</v>
      </c>
      <c r="K61" s="77">
        <f>LARGE($E$2:$E$241,60)</f>
        <v>370.00045</v>
      </c>
      <c r="L61" s="67">
        <f t="shared" si="2"/>
        <v>45</v>
      </c>
      <c r="M61" s="85" t="str">
        <f t="shared" si="3"/>
        <v>SP11 Siedlce</v>
      </c>
      <c r="N61" s="39">
        <v>60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7.25" thickTop="1" thickBot="1">
      <c r="B62" t="str">
        <f>wyniki!B78</f>
        <v>Bany Monika</v>
      </c>
      <c r="C62" s="19">
        <f>wyniki!I78</f>
        <v>442</v>
      </c>
      <c r="D62" s="18">
        <v>6.0999999999999997E-4</v>
      </c>
      <c r="E62" s="19">
        <f t="shared" si="0"/>
        <v>442.00060999999999</v>
      </c>
      <c r="F62" t="str">
        <f>wyniki!$A$77</f>
        <v>SP3 Piaseczno</v>
      </c>
      <c r="J62" s="93" t="str">
        <f t="shared" si="1"/>
        <v>Bąbiak Gabriela</v>
      </c>
      <c r="K62" s="77">
        <f>LARGE($E$2:$E$241,61)</f>
        <v>368.00049000000001</v>
      </c>
      <c r="L62" s="67">
        <f t="shared" si="2"/>
        <v>49</v>
      </c>
      <c r="M62" s="85" t="str">
        <f t="shared" si="3"/>
        <v>SP Podkowa Leśna</v>
      </c>
      <c r="N62" s="39">
        <v>61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7.25" thickTop="1" thickBot="1">
      <c r="B63" t="str">
        <f>wyniki!B79</f>
        <v>Borysiuk Gaja</v>
      </c>
      <c r="C63" s="19">
        <f>wyniki!I79</f>
        <v>412</v>
      </c>
      <c r="D63" s="18">
        <v>6.2E-4</v>
      </c>
      <c r="E63" s="19">
        <f t="shared" si="0"/>
        <v>412.00062000000003</v>
      </c>
      <c r="F63" t="str">
        <f>wyniki!$A$77</f>
        <v>SP3 Piaseczno</v>
      </c>
      <c r="J63" s="93" t="str">
        <f t="shared" si="1"/>
        <v>Niemyjska Aleksandra</v>
      </c>
      <c r="K63" s="77">
        <f>LARGE($E$2:$E$241,62)</f>
        <v>365.00020999999998</v>
      </c>
      <c r="L63" s="67">
        <f t="shared" si="2"/>
        <v>21</v>
      </c>
      <c r="M63" s="85" t="str">
        <f t="shared" si="3"/>
        <v>SP2 Ostrów Maz.</v>
      </c>
      <c r="N63" s="39">
        <v>62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7.25" thickTop="1" thickBot="1">
      <c r="B64" t="str">
        <f>wyniki!B80</f>
        <v>Sołtan Amelia</v>
      </c>
      <c r="C64" s="19">
        <f>wyniki!I80</f>
        <v>380</v>
      </c>
      <c r="D64" s="18">
        <v>6.3000000000000003E-4</v>
      </c>
      <c r="E64" s="19">
        <f t="shared" si="0"/>
        <v>380.00063</v>
      </c>
      <c r="F64" t="str">
        <f>wyniki!$A$77</f>
        <v>SP3 Piaseczno</v>
      </c>
      <c r="J64" s="93" t="str">
        <f t="shared" si="1"/>
        <v>Anielska Aleksandra</v>
      </c>
      <c r="K64" s="77">
        <f>LARGE($E$2:$E$241,63)</f>
        <v>365.00000999999997</v>
      </c>
      <c r="L64" s="67">
        <f t="shared" si="2"/>
        <v>1</v>
      </c>
      <c r="M64" s="85" t="str">
        <f t="shared" si="3"/>
        <v>SP14 Warszawa</v>
      </c>
      <c r="N64" s="39">
        <v>63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31" ht="17.25" thickTop="1" thickBot="1">
      <c r="B65" t="str">
        <f>wyniki!B81</f>
        <v>Spiechowicz Lidia</v>
      </c>
      <c r="C65" s="19">
        <f>wyniki!I81</f>
        <v>415</v>
      </c>
      <c r="D65" s="18">
        <v>6.4000000000000005E-4</v>
      </c>
      <c r="E65" s="19">
        <f t="shared" si="0"/>
        <v>415.00063999999998</v>
      </c>
      <c r="F65" t="str">
        <f>wyniki!$A$77</f>
        <v>SP3 Piaseczno</v>
      </c>
      <c r="J65" s="93" t="str">
        <f t="shared" si="1"/>
        <v>Brzezińska Kinga</v>
      </c>
      <c r="K65" s="77">
        <f>LARGE($E$2:$E$241,64)</f>
        <v>362.00054999999998</v>
      </c>
      <c r="L65" s="67">
        <f t="shared" si="2"/>
        <v>55</v>
      </c>
      <c r="M65" s="85" t="str">
        <f t="shared" si="3"/>
        <v>ZSP Lesznowola</v>
      </c>
      <c r="N65" s="39">
        <v>64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7.25" thickTop="1" thickBot="1">
      <c r="B66" t="str">
        <f>wyniki!B82</f>
        <v>Szulc Amelia</v>
      </c>
      <c r="C66" s="19">
        <f>wyniki!I82</f>
        <v>370</v>
      </c>
      <c r="D66" s="18">
        <v>6.4999999999999997E-4</v>
      </c>
      <c r="E66" s="19">
        <f t="shared" si="0"/>
        <v>370.00065000000001</v>
      </c>
      <c r="F66" t="str">
        <f>wyniki!$A$77</f>
        <v>SP3 Piaseczno</v>
      </c>
      <c r="J66" s="93" t="str">
        <f t="shared" si="1"/>
        <v>Szablewska Lena</v>
      </c>
      <c r="K66" s="77">
        <f>LARGE($E$2:$E$241,65)</f>
        <v>354.00060000000002</v>
      </c>
      <c r="L66" s="67">
        <f t="shared" si="2"/>
        <v>60</v>
      </c>
      <c r="M66" s="85" t="str">
        <f t="shared" si="3"/>
        <v>ZSP Lesznowola</v>
      </c>
      <c r="N66" s="39">
        <v>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7.25" thickTop="1" thickBot="1">
      <c r="B67" t="str">
        <f>wyniki!B83</f>
        <v>Wilczyńska Maria</v>
      </c>
      <c r="C67" s="19">
        <f>wyniki!I83</f>
        <v>374</v>
      </c>
      <c r="D67" s="18">
        <v>6.6E-4</v>
      </c>
      <c r="E67" s="19">
        <f t="shared" ref="E67:E130" si="4">C67+D67</f>
        <v>374.00065999999998</v>
      </c>
      <c r="F67" t="str">
        <f>wyniki!$A$77</f>
        <v>SP3 Piaseczno</v>
      </c>
      <c r="J67" s="93" t="str">
        <f t="shared" ref="J67:J130" si="5">INDEX($B$2:$E$241,L67,1)</f>
        <v>Mikołajewska Iga</v>
      </c>
      <c r="K67" s="77">
        <f>LARGE($E$2:$E$241,66)</f>
        <v>351.00038999999998</v>
      </c>
      <c r="L67" s="67">
        <f t="shared" ref="L67:L130" si="6">MATCH(K67,$E$2:$E$241,0)</f>
        <v>39</v>
      </c>
      <c r="M67" s="85" t="str">
        <f t="shared" ref="M67:M130" si="7">INDEX($E$2:$F$241,L67,2)</f>
        <v>SP2 Węgrów</v>
      </c>
      <c r="N67" s="39">
        <v>66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7.25" thickTop="1" thickBot="1">
      <c r="B68" t="str">
        <f>wyniki!B85</f>
        <v>Adamczyk Michalina</v>
      </c>
      <c r="C68" s="19">
        <f>wyniki!I85</f>
        <v>404</v>
      </c>
      <c r="D68" s="18">
        <v>6.7000000000000002E-4</v>
      </c>
      <c r="E68" s="19">
        <f t="shared" si="4"/>
        <v>404.00067000000001</v>
      </c>
      <c r="F68" t="str">
        <f>wyniki!$A$84</f>
        <v>ZSP Jedlińsk</v>
      </c>
      <c r="J68" s="93" t="str">
        <f t="shared" si="5"/>
        <v>Marcisz Anna</v>
      </c>
      <c r="K68" s="77">
        <f>LARGE($E$2:$E$241,67)</f>
        <v>350.00056000000001</v>
      </c>
      <c r="L68" s="67">
        <f t="shared" si="6"/>
        <v>56</v>
      </c>
      <c r="M68" s="85" t="str">
        <f t="shared" si="7"/>
        <v>ZSP Lesznowola</v>
      </c>
      <c r="N68" s="39">
        <v>67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7.25" thickTop="1" thickBot="1">
      <c r="B69" t="str">
        <f>wyniki!B86</f>
        <v>Dobrowolska Nikola</v>
      </c>
      <c r="C69" s="19">
        <f>wyniki!I86</f>
        <v>423</v>
      </c>
      <c r="D69" s="18">
        <v>6.8000000000000005E-4</v>
      </c>
      <c r="E69" s="19">
        <f t="shared" si="4"/>
        <v>423.00067999999999</v>
      </c>
      <c r="F69" t="str">
        <f>wyniki!$A$84</f>
        <v>ZSP Jedlińsk</v>
      </c>
      <c r="J69" s="93" t="str">
        <f t="shared" si="5"/>
        <v>Radgowska Maja</v>
      </c>
      <c r="K69" s="77">
        <f>LARGE($E$2:$E$241,68)</f>
        <v>347.00024000000002</v>
      </c>
      <c r="L69" s="67">
        <f t="shared" si="6"/>
        <v>24</v>
      </c>
      <c r="M69" s="85" t="str">
        <f t="shared" si="7"/>
        <v>SP2 Ostrów Maz.</v>
      </c>
      <c r="N69" s="39">
        <v>68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7.25" thickTop="1" thickBot="1">
      <c r="B70" t="str">
        <f>wyniki!B87</f>
        <v>Gryz Amelia</v>
      </c>
      <c r="C70" s="19">
        <f>wyniki!I87</f>
        <v>410</v>
      </c>
      <c r="D70" s="18">
        <v>6.8999999999999997E-4</v>
      </c>
      <c r="E70" s="19">
        <f t="shared" si="4"/>
        <v>410.00069000000002</v>
      </c>
      <c r="F70" t="str">
        <f>wyniki!$A$84</f>
        <v>ZSP Jedlińsk</v>
      </c>
      <c r="J70" s="93" t="str">
        <f t="shared" si="5"/>
        <v>Obrębska Maja</v>
      </c>
      <c r="K70" s="77">
        <f>LARGE($E$2:$E$241,69)</f>
        <v>346.00033000000002</v>
      </c>
      <c r="L70" s="67">
        <f t="shared" si="6"/>
        <v>33</v>
      </c>
      <c r="M70" s="85" t="str">
        <f t="shared" si="7"/>
        <v>SP Bieniewice</v>
      </c>
      <c r="N70" s="39">
        <v>69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7.25" thickTop="1" thickBot="1">
      <c r="B71" t="str">
        <f>wyniki!B88</f>
        <v>Walczak Łucja</v>
      </c>
      <c r="C71" s="19">
        <f>wyniki!I88</f>
        <v>408</v>
      </c>
      <c r="D71" s="18">
        <v>6.9999999999999999E-4</v>
      </c>
      <c r="E71" s="19">
        <f t="shared" si="4"/>
        <v>408.00069999999999</v>
      </c>
      <c r="F71" t="str">
        <f>wyniki!$A$84</f>
        <v>ZSP Jedlińsk</v>
      </c>
      <c r="J71" s="93" t="str">
        <f t="shared" si="5"/>
        <v>Piotrowska Iga</v>
      </c>
      <c r="K71" s="77">
        <f>LARGE($E$2:$E$241,70)</f>
        <v>344.00017000000003</v>
      </c>
      <c r="L71" s="67">
        <f t="shared" si="6"/>
        <v>17</v>
      </c>
      <c r="M71" s="85" t="str">
        <f t="shared" si="7"/>
        <v>PSP 2 Radom</v>
      </c>
      <c r="N71" s="39">
        <v>70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7.25" thickTop="1" thickBot="1">
      <c r="B72" t="str">
        <f>wyniki!B89</f>
        <v>Żaczek Maja</v>
      </c>
      <c r="C72" s="19">
        <f>wyniki!I89</f>
        <v>384</v>
      </c>
      <c r="D72" s="18">
        <v>7.1000000000000002E-4</v>
      </c>
      <c r="E72" s="19">
        <f t="shared" si="4"/>
        <v>384.00071000000003</v>
      </c>
      <c r="F72" t="str">
        <f>wyniki!$A$84</f>
        <v>ZSP Jedlińsk</v>
      </c>
      <c r="J72" s="93" t="str">
        <f t="shared" si="5"/>
        <v>Mariańska Magdalena</v>
      </c>
      <c r="K72" s="77">
        <f>LARGE($E$2:$E$241,71)</f>
        <v>306.00056999999998</v>
      </c>
      <c r="L72" s="67">
        <f t="shared" si="6"/>
        <v>57</v>
      </c>
      <c r="M72" s="85" t="str">
        <f t="shared" si="7"/>
        <v>ZSP Lesznowola</v>
      </c>
      <c r="N72" s="39">
        <v>71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7.25" thickTop="1" thickBot="1">
      <c r="B73" t="str">
        <f>wyniki!B90</f>
        <v>Żaczek Nikola</v>
      </c>
      <c r="C73" s="19">
        <f>wyniki!I90</f>
        <v>392</v>
      </c>
      <c r="D73" s="18">
        <v>7.2000000000000005E-4</v>
      </c>
      <c r="E73" s="19">
        <f t="shared" si="4"/>
        <v>392.00072</v>
      </c>
      <c r="F73" t="str">
        <f>wyniki!$A$84</f>
        <v>ZSP Jedlińsk</v>
      </c>
      <c r="J73" s="93" t="str">
        <f t="shared" si="5"/>
        <v>Kmieć Zuzanna</v>
      </c>
      <c r="K73" s="77">
        <f>LARGE($E$2:$E$241,72)</f>
        <v>285.00042000000002</v>
      </c>
      <c r="L73" s="67">
        <f t="shared" si="6"/>
        <v>42</v>
      </c>
      <c r="M73" s="85" t="str">
        <f t="shared" si="7"/>
        <v>SP2 Węgrów</v>
      </c>
      <c r="N73" s="39">
        <v>72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7.25" thickTop="1" thickBot="1">
      <c r="B74">
        <f>wyniki!B92</f>
        <v>0</v>
      </c>
      <c r="C74" s="19">
        <f>wyniki!I92</f>
        <v>0</v>
      </c>
      <c r="D74" s="18">
        <v>7.2999999999999996E-4</v>
      </c>
      <c r="E74" s="19">
        <f t="shared" si="4"/>
        <v>7.2999999999999996E-4</v>
      </c>
      <c r="F74">
        <f>wyniki!$A$91</f>
        <v>0</v>
      </c>
      <c r="J74" s="93">
        <f t="shared" si="5"/>
        <v>0</v>
      </c>
      <c r="K74" s="77">
        <f>LARGE($E$2:$E$241,73)</f>
        <v>2.3999999999999998E-3</v>
      </c>
      <c r="L74" s="67">
        <f t="shared" si="6"/>
        <v>240</v>
      </c>
      <c r="M74" s="85">
        <f t="shared" si="7"/>
        <v>0</v>
      </c>
      <c r="N74" s="39">
        <v>73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7.25" thickTop="1" thickBot="1">
      <c r="B75">
        <f>wyniki!B93</f>
        <v>0</v>
      </c>
      <c r="C75" s="19">
        <f>wyniki!I93</f>
        <v>0</v>
      </c>
      <c r="D75" s="18">
        <v>7.3999999999999999E-4</v>
      </c>
      <c r="E75" s="19">
        <f t="shared" si="4"/>
        <v>7.3999999999999999E-4</v>
      </c>
      <c r="F75">
        <f>wyniki!$A$91</f>
        <v>0</v>
      </c>
      <c r="J75" s="93">
        <f t="shared" si="5"/>
        <v>0</v>
      </c>
      <c r="K75" s="77">
        <f>LARGE($E$2:$E$241,74)</f>
        <v>2.3900000000000002E-3</v>
      </c>
      <c r="L75" s="67">
        <f t="shared" si="6"/>
        <v>239</v>
      </c>
      <c r="M75" s="85">
        <f t="shared" si="7"/>
        <v>0</v>
      </c>
      <c r="N75" s="39">
        <v>74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7.25" thickTop="1" thickBot="1">
      <c r="B76">
        <f>wyniki!B94</f>
        <v>0</v>
      </c>
      <c r="C76" s="19">
        <f>wyniki!I94</f>
        <v>0</v>
      </c>
      <c r="D76" s="18">
        <v>7.5000000000000002E-4</v>
      </c>
      <c r="E76" s="19">
        <f t="shared" si="4"/>
        <v>7.5000000000000002E-4</v>
      </c>
      <c r="F76">
        <f>wyniki!$A$91</f>
        <v>0</v>
      </c>
      <c r="J76" s="93">
        <f t="shared" si="5"/>
        <v>0</v>
      </c>
      <c r="K76" s="77">
        <f>LARGE($E$2:$E$241,75)</f>
        <v>2.3800000000000002E-3</v>
      </c>
      <c r="L76" s="67">
        <f t="shared" si="6"/>
        <v>238</v>
      </c>
      <c r="M76" s="85">
        <f t="shared" si="7"/>
        <v>0</v>
      </c>
      <c r="N76" s="39">
        <v>75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7.25" thickTop="1" thickBot="1">
      <c r="B77">
        <f>wyniki!B95</f>
        <v>0</v>
      </c>
      <c r="C77" s="19">
        <f>wyniki!I95</f>
        <v>0</v>
      </c>
      <c r="D77" s="18">
        <v>7.6000000000000004E-4</v>
      </c>
      <c r="E77" s="19">
        <f t="shared" si="4"/>
        <v>7.6000000000000004E-4</v>
      </c>
      <c r="F77">
        <f>wyniki!$A$91</f>
        <v>0</v>
      </c>
      <c r="J77" s="93">
        <f t="shared" si="5"/>
        <v>0</v>
      </c>
      <c r="K77" s="77">
        <f>LARGE($E$2:$E$241,76)</f>
        <v>2.3700000000000001E-3</v>
      </c>
      <c r="L77" s="67">
        <f t="shared" si="6"/>
        <v>237</v>
      </c>
      <c r="M77" s="85">
        <f t="shared" si="7"/>
        <v>0</v>
      </c>
      <c r="N77" s="39">
        <v>76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7.25" thickTop="1" thickBot="1">
      <c r="B78">
        <f>wyniki!B96</f>
        <v>0</v>
      </c>
      <c r="C78" s="19">
        <f>wyniki!I96</f>
        <v>0</v>
      </c>
      <c r="D78" s="18">
        <v>7.6999999999999996E-4</v>
      </c>
      <c r="E78" s="19">
        <f t="shared" si="4"/>
        <v>7.6999999999999996E-4</v>
      </c>
      <c r="F78">
        <f>wyniki!$A$91</f>
        <v>0</v>
      </c>
      <c r="J78" s="93">
        <f t="shared" si="5"/>
        <v>0</v>
      </c>
      <c r="K78" s="77">
        <f>LARGE($E$2:$E$241,77)</f>
        <v>2.3600000000000001E-3</v>
      </c>
      <c r="L78" s="67">
        <f t="shared" si="6"/>
        <v>236</v>
      </c>
      <c r="M78" s="85">
        <f t="shared" si="7"/>
        <v>0</v>
      </c>
      <c r="N78" s="39">
        <v>77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7.25" thickTop="1" thickBot="1">
      <c r="B79">
        <f>wyniki!B97</f>
        <v>0</v>
      </c>
      <c r="C79" s="19">
        <f>wyniki!I97</f>
        <v>0</v>
      </c>
      <c r="D79" s="18">
        <v>7.7999999999999999E-4</v>
      </c>
      <c r="E79" s="19">
        <f t="shared" si="4"/>
        <v>7.7999999999999999E-4</v>
      </c>
      <c r="F79">
        <f>wyniki!$A$91</f>
        <v>0</v>
      </c>
      <c r="J79" s="93">
        <f t="shared" si="5"/>
        <v>0</v>
      </c>
      <c r="K79" s="77">
        <f>LARGE($E$2:$E$241,78)</f>
        <v>2.3500000000000001E-3</v>
      </c>
      <c r="L79" s="67">
        <f t="shared" si="6"/>
        <v>235</v>
      </c>
      <c r="M79" s="85">
        <f t="shared" si="7"/>
        <v>0</v>
      </c>
      <c r="N79" s="39">
        <v>78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7.25" thickTop="1" thickBot="1">
      <c r="B80">
        <f>wyniki!B99</f>
        <v>0</v>
      </c>
      <c r="C80" s="19">
        <f>wyniki!I99</f>
        <v>0</v>
      </c>
      <c r="D80" s="18">
        <v>7.9000000000000001E-4</v>
      </c>
      <c r="E80" s="19">
        <f t="shared" si="4"/>
        <v>7.9000000000000001E-4</v>
      </c>
      <c r="F80">
        <f>wyniki!$A$98</f>
        <v>0</v>
      </c>
      <c r="J80" s="93">
        <f t="shared" si="5"/>
        <v>0</v>
      </c>
      <c r="K80" s="77">
        <f>LARGE($E$2:$E$241,79)</f>
        <v>2.3400000000000001E-3</v>
      </c>
      <c r="L80" s="67">
        <f t="shared" si="6"/>
        <v>234</v>
      </c>
      <c r="M80" s="85">
        <f t="shared" si="7"/>
        <v>0</v>
      </c>
      <c r="N80" s="39">
        <v>79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7.25" thickTop="1" thickBot="1">
      <c r="B81">
        <f>wyniki!B100</f>
        <v>0</v>
      </c>
      <c r="C81" s="19">
        <f>wyniki!I100</f>
        <v>0</v>
      </c>
      <c r="D81" s="18">
        <v>8.0000000000000004E-4</v>
      </c>
      <c r="E81" s="19">
        <f t="shared" si="4"/>
        <v>8.0000000000000004E-4</v>
      </c>
      <c r="F81">
        <f>wyniki!$A$98</f>
        <v>0</v>
      </c>
      <c r="J81" s="93">
        <f t="shared" si="5"/>
        <v>0</v>
      </c>
      <c r="K81" s="77">
        <f>LARGE($E$2:$E$241,80)</f>
        <v>2.33E-3</v>
      </c>
      <c r="L81" s="67">
        <f t="shared" si="6"/>
        <v>233</v>
      </c>
      <c r="M81" s="85">
        <f t="shared" si="7"/>
        <v>0</v>
      </c>
      <c r="N81" s="39">
        <v>80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7.25" thickTop="1" thickBot="1">
      <c r="B82">
        <f>wyniki!B101</f>
        <v>0</v>
      </c>
      <c r="C82" s="19">
        <f>wyniki!I101</f>
        <v>0</v>
      </c>
      <c r="D82" s="18">
        <v>8.0999999999999996E-4</v>
      </c>
      <c r="E82" s="19">
        <f t="shared" si="4"/>
        <v>8.0999999999999996E-4</v>
      </c>
      <c r="F82">
        <f>wyniki!$A$98</f>
        <v>0</v>
      </c>
      <c r="J82" s="93">
        <f t="shared" si="5"/>
        <v>0</v>
      </c>
      <c r="K82" s="77">
        <f>LARGE($E$2:$E$241,81)</f>
        <v>2.32E-3</v>
      </c>
      <c r="L82" s="67">
        <f t="shared" si="6"/>
        <v>232</v>
      </c>
      <c r="M82" s="85">
        <f t="shared" si="7"/>
        <v>0</v>
      </c>
      <c r="N82" s="39">
        <v>81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7.25" thickTop="1" thickBot="1">
      <c r="B83">
        <f>wyniki!B102</f>
        <v>0</v>
      </c>
      <c r="C83" s="19">
        <f>wyniki!I102</f>
        <v>0</v>
      </c>
      <c r="D83" s="18">
        <v>8.1999999999999998E-4</v>
      </c>
      <c r="E83" s="19">
        <f t="shared" si="4"/>
        <v>8.1999999999999998E-4</v>
      </c>
      <c r="F83">
        <f>wyniki!$A$98</f>
        <v>0</v>
      </c>
      <c r="J83" s="93">
        <f t="shared" si="5"/>
        <v>0</v>
      </c>
      <c r="K83" s="77">
        <f>LARGE($E$2:$E$241,82)</f>
        <v>2.31E-3</v>
      </c>
      <c r="L83" s="67">
        <f t="shared" si="6"/>
        <v>231</v>
      </c>
      <c r="M83" s="85">
        <f t="shared" si="7"/>
        <v>0</v>
      </c>
      <c r="N83" s="39">
        <v>82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7.25" thickTop="1" thickBot="1">
      <c r="B84">
        <f>wyniki!B103</f>
        <v>0</v>
      </c>
      <c r="C84" s="19">
        <f>wyniki!I103</f>
        <v>0</v>
      </c>
      <c r="D84" s="18">
        <v>8.3000000000000001E-4</v>
      </c>
      <c r="E84" s="19">
        <f t="shared" si="4"/>
        <v>8.3000000000000001E-4</v>
      </c>
      <c r="F84">
        <f>wyniki!$A$98</f>
        <v>0</v>
      </c>
      <c r="J84" s="93">
        <f t="shared" si="5"/>
        <v>0</v>
      </c>
      <c r="K84" s="77">
        <f>LARGE($E$2:$E$241,83)</f>
        <v>2.3E-3</v>
      </c>
      <c r="L84" s="67">
        <f t="shared" si="6"/>
        <v>230</v>
      </c>
      <c r="M84" s="85">
        <f t="shared" si="7"/>
        <v>0</v>
      </c>
      <c r="N84" s="39">
        <v>83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2:31" ht="17.25" thickTop="1" thickBot="1">
      <c r="B85">
        <f>wyniki!B104</f>
        <v>0</v>
      </c>
      <c r="C85" s="19">
        <f>wyniki!I104</f>
        <v>0</v>
      </c>
      <c r="D85" s="18">
        <v>8.4000000000000003E-4</v>
      </c>
      <c r="E85" s="19">
        <f t="shared" si="4"/>
        <v>8.4000000000000003E-4</v>
      </c>
      <c r="F85">
        <f>wyniki!$A$98</f>
        <v>0</v>
      </c>
      <c r="J85" s="93">
        <f t="shared" si="5"/>
        <v>0</v>
      </c>
      <c r="K85" s="77">
        <f>LARGE($E$2:$E$241,84)</f>
        <v>2.2899999999999999E-3</v>
      </c>
      <c r="L85" s="67">
        <f t="shared" si="6"/>
        <v>229</v>
      </c>
      <c r="M85" s="85">
        <f t="shared" si="7"/>
        <v>0</v>
      </c>
      <c r="N85" s="39">
        <v>84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2:31" ht="17.25" thickTop="1" thickBot="1">
      <c r="B86">
        <f>wyniki!B106</f>
        <v>0</v>
      </c>
      <c r="C86" s="19">
        <f>wyniki!I106</f>
        <v>0</v>
      </c>
      <c r="D86" s="18">
        <v>8.4999999999999995E-4</v>
      </c>
      <c r="E86" s="19">
        <f t="shared" si="4"/>
        <v>8.4999999999999995E-4</v>
      </c>
      <c r="F86">
        <f>wyniki!$A$105</f>
        <v>0</v>
      </c>
      <c r="J86" s="93">
        <f t="shared" si="5"/>
        <v>0</v>
      </c>
      <c r="K86" s="77">
        <f>LARGE($E$2:$E$241,85)</f>
        <v>2.2799999999999999E-3</v>
      </c>
      <c r="L86" s="67">
        <f t="shared" si="6"/>
        <v>228</v>
      </c>
      <c r="M86" s="85">
        <f t="shared" si="7"/>
        <v>0</v>
      </c>
      <c r="N86" s="39">
        <v>85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2:31" ht="17.25" thickTop="1" thickBot="1">
      <c r="B87">
        <f>wyniki!B107</f>
        <v>0</v>
      </c>
      <c r="C87" s="19">
        <f>wyniki!I107</f>
        <v>0</v>
      </c>
      <c r="D87" s="18">
        <v>8.5999999999999998E-4</v>
      </c>
      <c r="E87" s="19">
        <f t="shared" si="4"/>
        <v>8.5999999999999998E-4</v>
      </c>
      <c r="F87">
        <f>wyniki!$A$105</f>
        <v>0</v>
      </c>
      <c r="J87" s="93">
        <f t="shared" si="5"/>
        <v>0</v>
      </c>
      <c r="K87" s="77">
        <f>LARGE($E$2:$E$241,86)</f>
        <v>2.2699999999999999E-3</v>
      </c>
      <c r="L87" s="67">
        <f t="shared" si="6"/>
        <v>227</v>
      </c>
      <c r="M87" s="85">
        <f t="shared" si="7"/>
        <v>0</v>
      </c>
      <c r="N87" s="39">
        <v>86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2:31" ht="17.25" thickTop="1" thickBot="1">
      <c r="B88">
        <f>wyniki!B108</f>
        <v>0</v>
      </c>
      <c r="C88" s="19">
        <f>wyniki!I108</f>
        <v>0</v>
      </c>
      <c r="D88" s="18">
        <v>8.7000000000000001E-4</v>
      </c>
      <c r="E88" s="19">
        <f t="shared" si="4"/>
        <v>8.7000000000000001E-4</v>
      </c>
      <c r="F88">
        <f>wyniki!$A$105</f>
        <v>0</v>
      </c>
      <c r="J88" s="93">
        <f t="shared" si="5"/>
        <v>0</v>
      </c>
      <c r="K88" s="77">
        <f>LARGE($E$2:$E$241,87)</f>
        <v>2.2599999999999999E-3</v>
      </c>
      <c r="L88" s="67">
        <f t="shared" si="6"/>
        <v>226</v>
      </c>
      <c r="M88" s="85">
        <f t="shared" si="7"/>
        <v>0</v>
      </c>
      <c r="N88" s="39">
        <v>87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2:31" ht="17.25" thickTop="1" thickBot="1">
      <c r="B89">
        <f>wyniki!B109</f>
        <v>0</v>
      </c>
      <c r="C89" s="19">
        <f>wyniki!I109</f>
        <v>0</v>
      </c>
      <c r="D89" s="18">
        <v>8.8000000000000003E-4</v>
      </c>
      <c r="E89" s="19">
        <f t="shared" si="4"/>
        <v>8.8000000000000003E-4</v>
      </c>
      <c r="F89">
        <f>wyniki!$A$105</f>
        <v>0</v>
      </c>
      <c r="J89" s="93">
        <f t="shared" si="5"/>
        <v>0</v>
      </c>
      <c r="K89" s="77">
        <f>LARGE($E$2:$E$241,88)</f>
        <v>2.2499999999999998E-3</v>
      </c>
      <c r="L89" s="67">
        <f t="shared" si="6"/>
        <v>225</v>
      </c>
      <c r="M89" s="85">
        <f t="shared" si="7"/>
        <v>0</v>
      </c>
      <c r="N89" s="39">
        <v>88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2:31" ht="17.25" thickTop="1" thickBot="1">
      <c r="B90">
        <f>wyniki!B110</f>
        <v>0</v>
      </c>
      <c r="C90" s="19">
        <f>wyniki!I110</f>
        <v>0</v>
      </c>
      <c r="D90" s="18">
        <v>8.8999999999999995E-4</v>
      </c>
      <c r="E90" s="19">
        <f t="shared" si="4"/>
        <v>8.8999999999999995E-4</v>
      </c>
      <c r="F90">
        <f>wyniki!$A$105</f>
        <v>0</v>
      </c>
      <c r="J90" s="93">
        <f t="shared" si="5"/>
        <v>0</v>
      </c>
      <c r="K90" s="77">
        <f>LARGE($E$2:$E$241,89)</f>
        <v>2.2399999999999998E-3</v>
      </c>
      <c r="L90" s="67">
        <f t="shared" si="6"/>
        <v>224</v>
      </c>
      <c r="M90" s="85">
        <f t="shared" si="7"/>
        <v>0</v>
      </c>
      <c r="N90" s="39">
        <v>89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2:31" ht="17.25" thickTop="1" thickBot="1">
      <c r="B91">
        <f>wyniki!B111</f>
        <v>0</v>
      </c>
      <c r="C91" s="19">
        <f>wyniki!I111</f>
        <v>0</v>
      </c>
      <c r="D91" s="18">
        <v>8.9999999999999998E-4</v>
      </c>
      <c r="E91" s="19">
        <f t="shared" si="4"/>
        <v>8.9999999999999998E-4</v>
      </c>
      <c r="F91">
        <f>wyniki!$A$105</f>
        <v>0</v>
      </c>
      <c r="J91" s="93">
        <f t="shared" si="5"/>
        <v>0</v>
      </c>
      <c r="K91" s="77">
        <f>LARGE($E$2:$E$241,90)</f>
        <v>2.2300000000000002E-3</v>
      </c>
      <c r="L91" s="67">
        <f t="shared" si="6"/>
        <v>223</v>
      </c>
      <c r="M91" s="85">
        <f t="shared" si="7"/>
        <v>0</v>
      </c>
      <c r="N91" s="39">
        <v>90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2:31" ht="17.25" thickTop="1" thickBot="1">
      <c r="B92">
        <f>wyniki!B113</f>
        <v>0</v>
      </c>
      <c r="C92" s="19">
        <f>wyniki!I113</f>
        <v>0</v>
      </c>
      <c r="D92" s="18">
        <v>9.1E-4</v>
      </c>
      <c r="E92" s="19">
        <f t="shared" si="4"/>
        <v>9.1E-4</v>
      </c>
      <c r="F92">
        <f>wyniki!$A$112</f>
        <v>0</v>
      </c>
      <c r="J92" s="93">
        <f t="shared" si="5"/>
        <v>0</v>
      </c>
      <c r="K92" s="77">
        <f>LARGE($E$2:$E$241,91)</f>
        <v>2.2200000000000002E-3</v>
      </c>
      <c r="L92" s="67">
        <f t="shared" si="6"/>
        <v>222</v>
      </c>
      <c r="M92" s="85">
        <f t="shared" si="7"/>
        <v>0</v>
      </c>
      <c r="N92" s="39">
        <v>91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2:31" ht="17.25" thickTop="1" thickBot="1">
      <c r="B93">
        <f>wyniki!B114</f>
        <v>0</v>
      </c>
      <c r="C93" s="19">
        <f>wyniki!I114</f>
        <v>0</v>
      </c>
      <c r="D93" s="18">
        <v>9.2000000000000003E-4</v>
      </c>
      <c r="E93" s="19">
        <f t="shared" si="4"/>
        <v>9.2000000000000003E-4</v>
      </c>
      <c r="F93">
        <f>wyniki!$A$112</f>
        <v>0</v>
      </c>
      <c r="J93" s="93">
        <f t="shared" si="5"/>
        <v>0</v>
      </c>
      <c r="K93" s="77">
        <f>LARGE($E$2:$E$241,92)</f>
        <v>2.2100000000000002E-3</v>
      </c>
      <c r="L93" s="67">
        <f t="shared" si="6"/>
        <v>221</v>
      </c>
      <c r="M93" s="85">
        <f t="shared" si="7"/>
        <v>0</v>
      </c>
      <c r="N93" s="39">
        <v>92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2:31" ht="17.25" thickTop="1" thickBot="1">
      <c r="B94">
        <f>wyniki!B115</f>
        <v>0</v>
      </c>
      <c r="C94" s="19">
        <f>wyniki!I115</f>
        <v>0</v>
      </c>
      <c r="D94" s="18">
        <v>9.3000000000000005E-4</v>
      </c>
      <c r="E94" s="19">
        <f t="shared" si="4"/>
        <v>9.3000000000000005E-4</v>
      </c>
      <c r="F94">
        <f>wyniki!$A$112</f>
        <v>0</v>
      </c>
      <c r="J94" s="93">
        <f t="shared" si="5"/>
        <v>0</v>
      </c>
      <c r="K94" s="77">
        <f>LARGE($E$2:$E$241,93)</f>
        <v>2.2000000000000001E-3</v>
      </c>
      <c r="L94" s="67">
        <f t="shared" si="6"/>
        <v>220</v>
      </c>
      <c r="M94" s="85">
        <f t="shared" si="7"/>
        <v>0</v>
      </c>
      <c r="N94" s="39">
        <v>93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2:31" ht="17.25" thickTop="1" thickBot="1">
      <c r="B95">
        <f>wyniki!B116</f>
        <v>0</v>
      </c>
      <c r="C95" s="19">
        <f>wyniki!I116</f>
        <v>0</v>
      </c>
      <c r="D95" s="18">
        <v>9.3999999999999997E-4</v>
      </c>
      <c r="E95" s="19">
        <f t="shared" si="4"/>
        <v>9.3999999999999997E-4</v>
      </c>
      <c r="F95">
        <f>wyniki!$A$112</f>
        <v>0</v>
      </c>
      <c r="J95" s="93">
        <f t="shared" si="5"/>
        <v>0</v>
      </c>
      <c r="K95" s="77">
        <f>LARGE($E$2:$E$241,94)</f>
        <v>2.1900000000000001E-3</v>
      </c>
      <c r="L95" s="67">
        <f t="shared" si="6"/>
        <v>219</v>
      </c>
      <c r="M95" s="85">
        <f t="shared" si="7"/>
        <v>0</v>
      </c>
      <c r="N95" s="39">
        <v>94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2:31" ht="17.25" thickTop="1" thickBot="1">
      <c r="B96">
        <f>wyniki!B117</f>
        <v>0</v>
      </c>
      <c r="C96" s="19">
        <f>wyniki!I117</f>
        <v>0</v>
      </c>
      <c r="D96" s="18">
        <v>9.5E-4</v>
      </c>
      <c r="E96" s="19">
        <f t="shared" si="4"/>
        <v>9.5E-4</v>
      </c>
      <c r="F96">
        <f>wyniki!$A$112</f>
        <v>0</v>
      </c>
      <c r="J96" s="93">
        <f t="shared" si="5"/>
        <v>0</v>
      </c>
      <c r="K96" s="77">
        <f>LARGE($E$2:$E$241,95)</f>
        <v>2.1800000000000001E-3</v>
      </c>
      <c r="L96" s="67">
        <f t="shared" si="6"/>
        <v>218</v>
      </c>
      <c r="M96" s="85">
        <f t="shared" si="7"/>
        <v>0</v>
      </c>
      <c r="N96" s="39">
        <v>95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2:31" ht="17.25" thickTop="1" thickBot="1">
      <c r="B97">
        <f>wyniki!B118</f>
        <v>0</v>
      </c>
      <c r="C97" s="19">
        <f>wyniki!I118</f>
        <v>0</v>
      </c>
      <c r="D97" s="18">
        <v>9.6000000000000002E-4</v>
      </c>
      <c r="E97" s="19">
        <f t="shared" si="4"/>
        <v>9.6000000000000002E-4</v>
      </c>
      <c r="F97">
        <f>wyniki!$A$112</f>
        <v>0</v>
      </c>
      <c r="J97" s="93">
        <f t="shared" si="5"/>
        <v>0</v>
      </c>
      <c r="K97" s="77">
        <f>LARGE($E$2:$E$241,96)</f>
        <v>2.1700000000000001E-3</v>
      </c>
      <c r="L97" s="67">
        <f t="shared" si="6"/>
        <v>217</v>
      </c>
      <c r="M97" s="85">
        <f t="shared" si="7"/>
        <v>0</v>
      </c>
      <c r="N97" s="39">
        <v>96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2:31" ht="17.25" thickTop="1" thickBot="1">
      <c r="B98">
        <f>wyniki!B120</f>
        <v>0</v>
      </c>
      <c r="C98" s="19">
        <f>wyniki!I120</f>
        <v>0</v>
      </c>
      <c r="D98" s="18">
        <v>9.7000000000000005E-4</v>
      </c>
      <c r="E98" s="19">
        <f t="shared" si="4"/>
        <v>9.7000000000000005E-4</v>
      </c>
      <c r="F98">
        <f>wyniki!$A$119</f>
        <v>0</v>
      </c>
      <c r="J98" s="93">
        <f t="shared" si="5"/>
        <v>0</v>
      </c>
      <c r="K98" s="77">
        <f>LARGE($E$2:$E$241,97)</f>
        <v>2.16E-3</v>
      </c>
      <c r="L98" s="67">
        <f t="shared" si="6"/>
        <v>216</v>
      </c>
      <c r="M98" s="85">
        <f t="shared" si="7"/>
        <v>0</v>
      </c>
      <c r="N98" s="39">
        <v>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2:31" ht="17.25" thickTop="1" thickBot="1">
      <c r="B99">
        <f>wyniki!B121</f>
        <v>0</v>
      </c>
      <c r="C99" s="19">
        <f>wyniki!I121</f>
        <v>0</v>
      </c>
      <c r="D99" s="18">
        <v>9.7999999999999997E-4</v>
      </c>
      <c r="E99" s="19">
        <f t="shared" si="4"/>
        <v>9.7999999999999997E-4</v>
      </c>
      <c r="F99">
        <f>wyniki!$A$119</f>
        <v>0</v>
      </c>
      <c r="J99" s="93">
        <f t="shared" si="5"/>
        <v>0</v>
      </c>
      <c r="K99" s="77">
        <f>LARGE($E$2:$E$241,98)</f>
        <v>2.15E-3</v>
      </c>
      <c r="L99" s="67">
        <f t="shared" si="6"/>
        <v>215</v>
      </c>
      <c r="M99" s="85">
        <f t="shared" si="7"/>
        <v>0</v>
      </c>
      <c r="N99" s="39">
        <v>98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2:31" ht="17.25" thickTop="1" thickBot="1">
      <c r="B100">
        <f>wyniki!B122</f>
        <v>0</v>
      </c>
      <c r="C100" s="19">
        <f>wyniki!I122</f>
        <v>0</v>
      </c>
      <c r="D100" s="18">
        <v>9.8999999999999999E-4</v>
      </c>
      <c r="E100" s="19">
        <f t="shared" si="4"/>
        <v>9.8999999999999999E-4</v>
      </c>
      <c r="F100">
        <f>wyniki!$A$119</f>
        <v>0</v>
      </c>
      <c r="J100" s="93">
        <f t="shared" si="5"/>
        <v>0</v>
      </c>
      <c r="K100" s="77">
        <f>LARGE($E$2:$E$241,99)</f>
        <v>2.14E-3</v>
      </c>
      <c r="L100" s="67">
        <f t="shared" si="6"/>
        <v>214</v>
      </c>
      <c r="M100" s="85">
        <f t="shared" si="7"/>
        <v>0</v>
      </c>
      <c r="N100" s="39">
        <v>99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2:31" ht="17.25" thickTop="1" thickBot="1">
      <c r="B101">
        <f>wyniki!B123</f>
        <v>0</v>
      </c>
      <c r="C101" s="19">
        <f>wyniki!I123</f>
        <v>0</v>
      </c>
      <c r="D101" s="18">
        <v>1E-3</v>
      </c>
      <c r="E101" s="19">
        <f t="shared" si="4"/>
        <v>1E-3</v>
      </c>
      <c r="F101">
        <f>wyniki!$A$119</f>
        <v>0</v>
      </c>
      <c r="J101" s="93">
        <f t="shared" si="5"/>
        <v>0</v>
      </c>
      <c r="K101" s="77">
        <f>LARGE($E$2:$E$241,100)</f>
        <v>2.1299999999999999E-3</v>
      </c>
      <c r="L101" s="67">
        <f t="shared" si="6"/>
        <v>213</v>
      </c>
      <c r="M101" s="85">
        <f t="shared" si="7"/>
        <v>0</v>
      </c>
      <c r="N101" s="39">
        <v>100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2:31" ht="17.25" thickTop="1" thickBot="1">
      <c r="B102">
        <f>wyniki!B124</f>
        <v>0</v>
      </c>
      <c r="C102" s="19">
        <f>wyniki!I124</f>
        <v>0</v>
      </c>
      <c r="D102" s="18">
        <v>1.01E-3</v>
      </c>
      <c r="E102" s="19">
        <f t="shared" si="4"/>
        <v>1.01E-3</v>
      </c>
      <c r="F102">
        <f>wyniki!$A$119</f>
        <v>0</v>
      </c>
      <c r="J102" s="93">
        <f t="shared" si="5"/>
        <v>0</v>
      </c>
      <c r="K102" s="77">
        <f>LARGE($E$2:$E$241,101)</f>
        <v>2.1199999999999999E-3</v>
      </c>
      <c r="L102" s="67">
        <f t="shared" si="6"/>
        <v>212</v>
      </c>
      <c r="M102" s="85">
        <f t="shared" si="7"/>
        <v>0</v>
      </c>
      <c r="N102" s="39">
        <v>101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2:31" ht="17.25" thickTop="1" thickBot="1">
      <c r="B103">
        <f>wyniki!B125</f>
        <v>0</v>
      </c>
      <c r="C103" s="19">
        <f>wyniki!I125</f>
        <v>0</v>
      </c>
      <c r="D103" s="18">
        <v>1.0200000000000001E-3</v>
      </c>
      <c r="E103" s="19">
        <f t="shared" si="4"/>
        <v>1.0200000000000001E-3</v>
      </c>
      <c r="F103">
        <f>wyniki!$A$119</f>
        <v>0</v>
      </c>
      <c r="J103" s="93">
        <f t="shared" si="5"/>
        <v>0</v>
      </c>
      <c r="K103" s="77">
        <f>LARGE($E$2:$E$241,102)</f>
        <v>2.1099999999999999E-3</v>
      </c>
      <c r="L103" s="67">
        <f t="shared" si="6"/>
        <v>211</v>
      </c>
      <c r="M103" s="85">
        <f t="shared" si="7"/>
        <v>0</v>
      </c>
      <c r="N103" s="39">
        <v>102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2:31" ht="17.25" thickTop="1" thickBot="1">
      <c r="B104">
        <f>wyniki!B127</f>
        <v>0</v>
      </c>
      <c r="C104" s="19">
        <f>wyniki!I127</f>
        <v>0</v>
      </c>
      <c r="D104" s="18">
        <v>1.0300000000000001E-3</v>
      </c>
      <c r="E104" s="19">
        <f t="shared" si="4"/>
        <v>1.0300000000000001E-3</v>
      </c>
      <c r="F104">
        <f>wyniki!$A$126</f>
        <v>0</v>
      </c>
      <c r="J104" s="93">
        <f t="shared" si="5"/>
        <v>0</v>
      </c>
      <c r="K104" s="77">
        <f>LARGE($E$2:$E$241,103)</f>
        <v>2.0999999999999999E-3</v>
      </c>
      <c r="L104" s="67">
        <f t="shared" si="6"/>
        <v>210</v>
      </c>
      <c r="M104" s="85">
        <f t="shared" si="7"/>
        <v>0</v>
      </c>
      <c r="N104" s="39">
        <v>103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7.25" thickTop="1" thickBot="1">
      <c r="B105">
        <f>wyniki!B128</f>
        <v>0</v>
      </c>
      <c r="C105" s="19">
        <f>wyniki!I128</f>
        <v>0</v>
      </c>
      <c r="D105" s="18">
        <v>1.0399999999999999E-3</v>
      </c>
      <c r="E105" s="19">
        <f t="shared" si="4"/>
        <v>1.0399999999999999E-3</v>
      </c>
      <c r="F105">
        <f>wyniki!$A$126</f>
        <v>0</v>
      </c>
      <c r="J105" s="93">
        <f t="shared" si="5"/>
        <v>0</v>
      </c>
      <c r="K105" s="77">
        <f>LARGE($E$2:$E$241,104)</f>
        <v>2.0899999999999998E-3</v>
      </c>
      <c r="L105" s="67">
        <f t="shared" si="6"/>
        <v>209</v>
      </c>
      <c r="M105" s="85">
        <f t="shared" si="7"/>
        <v>0</v>
      </c>
      <c r="N105" s="39">
        <v>104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7.25" thickTop="1" thickBot="1">
      <c r="B106">
        <f>wyniki!B129</f>
        <v>0</v>
      </c>
      <c r="C106" s="19">
        <f>wyniki!I129</f>
        <v>0</v>
      </c>
      <c r="D106" s="18">
        <v>1.0499999999999999E-3</v>
      </c>
      <c r="E106" s="19">
        <f t="shared" si="4"/>
        <v>1.0499999999999999E-3</v>
      </c>
      <c r="F106">
        <f>wyniki!$A$126</f>
        <v>0</v>
      </c>
      <c r="J106" s="93">
        <f t="shared" si="5"/>
        <v>0</v>
      </c>
      <c r="K106" s="77">
        <f>LARGE($E$2:$E$241,105)</f>
        <v>2.0799999999999998E-3</v>
      </c>
      <c r="L106" s="67">
        <f t="shared" si="6"/>
        <v>208</v>
      </c>
      <c r="M106" s="85">
        <f t="shared" si="7"/>
        <v>0</v>
      </c>
      <c r="N106" s="39">
        <v>105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7.25" thickTop="1" thickBot="1">
      <c r="B107">
        <f>wyniki!B130</f>
        <v>0</v>
      </c>
      <c r="C107" s="19">
        <f>wyniki!I130</f>
        <v>0</v>
      </c>
      <c r="D107" s="18">
        <v>1.06E-3</v>
      </c>
      <c r="E107" s="19">
        <f t="shared" si="4"/>
        <v>1.06E-3</v>
      </c>
      <c r="F107">
        <f>wyniki!$A$126</f>
        <v>0</v>
      </c>
      <c r="J107" s="93">
        <f t="shared" si="5"/>
        <v>0</v>
      </c>
      <c r="K107" s="77">
        <f>LARGE($E$2:$E$241,106)</f>
        <v>2.0699999999999998E-3</v>
      </c>
      <c r="L107" s="67">
        <f t="shared" si="6"/>
        <v>207</v>
      </c>
      <c r="M107" s="85">
        <f t="shared" si="7"/>
        <v>0</v>
      </c>
      <c r="N107" s="39">
        <v>106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7.25" thickTop="1" thickBot="1">
      <c r="B108">
        <f>wyniki!B131</f>
        <v>0</v>
      </c>
      <c r="C108" s="19">
        <f>wyniki!I131</f>
        <v>0</v>
      </c>
      <c r="D108" s="18">
        <v>1.07E-3</v>
      </c>
      <c r="E108" s="19">
        <f t="shared" si="4"/>
        <v>1.07E-3</v>
      </c>
      <c r="F108">
        <f>wyniki!$A$126</f>
        <v>0</v>
      </c>
      <c r="J108" s="93">
        <f t="shared" si="5"/>
        <v>0</v>
      </c>
      <c r="K108" s="77">
        <f>LARGE($E$2:$E$241,107)</f>
        <v>2.0600000000000002E-3</v>
      </c>
      <c r="L108" s="67">
        <f t="shared" si="6"/>
        <v>206</v>
      </c>
      <c r="M108" s="85">
        <f t="shared" si="7"/>
        <v>0</v>
      </c>
      <c r="N108" s="39">
        <v>107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7.25" thickTop="1" thickBot="1">
      <c r="B109">
        <f>wyniki!B132</f>
        <v>0</v>
      </c>
      <c r="C109" s="19">
        <f>wyniki!I132</f>
        <v>0</v>
      </c>
      <c r="D109" s="18">
        <v>1.08E-3</v>
      </c>
      <c r="E109" s="19">
        <f t="shared" si="4"/>
        <v>1.08E-3</v>
      </c>
      <c r="F109">
        <f>wyniki!$A$126</f>
        <v>0</v>
      </c>
      <c r="J109" s="93">
        <f t="shared" si="5"/>
        <v>0</v>
      </c>
      <c r="K109" s="77">
        <f>LARGE($E$2:$E$241,108)</f>
        <v>2.0500000000000002E-3</v>
      </c>
      <c r="L109" s="67">
        <f t="shared" si="6"/>
        <v>205</v>
      </c>
      <c r="M109" s="85">
        <f t="shared" si="7"/>
        <v>0</v>
      </c>
      <c r="N109" s="39">
        <v>108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7.25" thickTop="1" thickBot="1">
      <c r="B110">
        <f>wyniki!B134</f>
        <v>0</v>
      </c>
      <c r="C110" s="19">
        <f>wyniki!I134</f>
        <v>0</v>
      </c>
      <c r="D110" s="18">
        <v>1.09E-3</v>
      </c>
      <c r="E110" s="19">
        <f t="shared" si="4"/>
        <v>1.09E-3</v>
      </c>
      <c r="F110">
        <f>wyniki!$A$133</f>
        <v>0</v>
      </c>
      <c r="J110" s="93">
        <f t="shared" si="5"/>
        <v>0</v>
      </c>
      <c r="K110" s="77">
        <f>LARGE($E$2:$E$241,109)</f>
        <v>2.0400000000000001E-3</v>
      </c>
      <c r="L110" s="67">
        <f t="shared" si="6"/>
        <v>204</v>
      </c>
      <c r="M110" s="85">
        <f t="shared" si="7"/>
        <v>0</v>
      </c>
      <c r="N110" s="39">
        <v>109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7.25" thickTop="1" thickBot="1">
      <c r="B111">
        <f>wyniki!B135</f>
        <v>0</v>
      </c>
      <c r="C111" s="19">
        <f>wyniki!I135</f>
        <v>0</v>
      </c>
      <c r="D111" s="18">
        <v>1.1000000000000001E-3</v>
      </c>
      <c r="E111" s="19">
        <f t="shared" si="4"/>
        <v>1.1000000000000001E-3</v>
      </c>
      <c r="F111">
        <f>wyniki!$A$133</f>
        <v>0</v>
      </c>
      <c r="J111" s="93">
        <f t="shared" si="5"/>
        <v>0</v>
      </c>
      <c r="K111" s="77">
        <f>LARGE($E$2:$E$241,110)</f>
        <v>2.0300000000000001E-3</v>
      </c>
      <c r="L111" s="67">
        <f t="shared" si="6"/>
        <v>203</v>
      </c>
      <c r="M111" s="85">
        <f t="shared" si="7"/>
        <v>0</v>
      </c>
      <c r="N111" s="39">
        <v>110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7.25" thickTop="1" thickBot="1">
      <c r="B112">
        <f>wyniki!B136</f>
        <v>0</v>
      </c>
      <c r="C112" s="19">
        <f>wyniki!I136</f>
        <v>0</v>
      </c>
      <c r="D112" s="18">
        <v>1.1100000000000001E-3</v>
      </c>
      <c r="E112" s="19">
        <f t="shared" si="4"/>
        <v>1.1100000000000001E-3</v>
      </c>
      <c r="F112">
        <f>wyniki!$A$133</f>
        <v>0</v>
      </c>
      <c r="J112" s="93">
        <f t="shared" si="5"/>
        <v>0</v>
      </c>
      <c r="K112" s="77">
        <f>LARGE($E$2:$E$241,111)</f>
        <v>2.0200000000000001E-3</v>
      </c>
      <c r="L112" s="67">
        <f t="shared" si="6"/>
        <v>202</v>
      </c>
      <c r="M112" s="85">
        <f t="shared" si="7"/>
        <v>0</v>
      </c>
      <c r="N112" s="39">
        <v>111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7.25" thickTop="1" thickBot="1">
      <c r="B113">
        <f>wyniki!B137</f>
        <v>0</v>
      </c>
      <c r="C113" s="19">
        <f>wyniki!I137</f>
        <v>0</v>
      </c>
      <c r="D113" s="18">
        <v>1.1199999999999999E-3</v>
      </c>
      <c r="E113" s="19">
        <f t="shared" si="4"/>
        <v>1.1199999999999999E-3</v>
      </c>
      <c r="F113">
        <f>wyniki!$A$133</f>
        <v>0</v>
      </c>
      <c r="J113" s="93">
        <f t="shared" si="5"/>
        <v>0</v>
      </c>
      <c r="K113" s="77">
        <f>LARGE($E$2:$E$241,112)</f>
        <v>2.0100000000000001E-3</v>
      </c>
      <c r="L113" s="67">
        <f t="shared" si="6"/>
        <v>201</v>
      </c>
      <c r="M113" s="85">
        <f t="shared" si="7"/>
        <v>0</v>
      </c>
      <c r="N113" s="39">
        <v>112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7.25" thickTop="1" thickBot="1">
      <c r="B114">
        <f>wyniki!B138</f>
        <v>0</v>
      </c>
      <c r="C114" s="19">
        <f>wyniki!I138</f>
        <v>0</v>
      </c>
      <c r="D114" s="18">
        <v>1.1299999999999999E-3</v>
      </c>
      <c r="E114" s="19">
        <f t="shared" si="4"/>
        <v>1.1299999999999999E-3</v>
      </c>
      <c r="F114">
        <f>wyniki!$A$133</f>
        <v>0</v>
      </c>
      <c r="J114" s="93">
        <f t="shared" si="5"/>
        <v>0</v>
      </c>
      <c r="K114" s="77">
        <f>LARGE($E$2:$E$241,113)</f>
        <v>2E-3</v>
      </c>
      <c r="L114" s="67">
        <f t="shared" si="6"/>
        <v>200</v>
      </c>
      <c r="M114" s="85">
        <f t="shared" si="7"/>
        <v>0</v>
      </c>
      <c r="N114" s="39">
        <v>113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7.25" thickTop="1" thickBot="1">
      <c r="B115">
        <f>wyniki!B139</f>
        <v>0</v>
      </c>
      <c r="C115" s="19">
        <f>wyniki!I139</f>
        <v>0</v>
      </c>
      <c r="D115" s="18">
        <v>1.14E-3</v>
      </c>
      <c r="E115" s="19">
        <f t="shared" si="4"/>
        <v>1.14E-3</v>
      </c>
      <c r="F115">
        <f>wyniki!$A$133</f>
        <v>0</v>
      </c>
      <c r="J115" s="93">
        <f t="shared" si="5"/>
        <v>0</v>
      </c>
      <c r="K115" s="77">
        <f>LARGE($E$2:$E$241,114)</f>
        <v>1.99E-3</v>
      </c>
      <c r="L115" s="67">
        <f t="shared" si="6"/>
        <v>199</v>
      </c>
      <c r="M115" s="85">
        <f t="shared" si="7"/>
        <v>0</v>
      </c>
      <c r="N115" s="39">
        <v>114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7.25" thickTop="1" thickBot="1">
      <c r="B116">
        <f>wyniki!B141</f>
        <v>0</v>
      </c>
      <c r="C116" s="19">
        <f>wyniki!I141</f>
        <v>0</v>
      </c>
      <c r="D116" s="18">
        <v>1.15E-3</v>
      </c>
      <c r="E116" s="19">
        <f t="shared" si="4"/>
        <v>1.15E-3</v>
      </c>
      <c r="F116">
        <f>wyniki!$A$140</f>
        <v>0</v>
      </c>
      <c r="J116" s="93">
        <f t="shared" si="5"/>
        <v>0</v>
      </c>
      <c r="K116" s="77">
        <f>LARGE($E$2:$E$241,115)</f>
        <v>1.98E-3</v>
      </c>
      <c r="L116" s="67">
        <f t="shared" si="6"/>
        <v>198</v>
      </c>
      <c r="M116" s="85">
        <f t="shared" si="7"/>
        <v>0</v>
      </c>
      <c r="N116" s="39">
        <v>115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7.25" thickTop="1" thickBot="1">
      <c r="B117">
        <f>wyniki!B142</f>
        <v>0</v>
      </c>
      <c r="C117" s="19">
        <f>wyniki!I142</f>
        <v>0</v>
      </c>
      <c r="D117" s="18">
        <v>1.16E-3</v>
      </c>
      <c r="E117" s="19">
        <f t="shared" si="4"/>
        <v>1.16E-3</v>
      </c>
      <c r="F117">
        <f>wyniki!$A$140</f>
        <v>0</v>
      </c>
      <c r="J117" s="93">
        <f t="shared" si="5"/>
        <v>0</v>
      </c>
      <c r="K117" s="77">
        <f>LARGE($E$2:$E$241,116)</f>
        <v>1.97E-3</v>
      </c>
      <c r="L117" s="67">
        <f t="shared" si="6"/>
        <v>197</v>
      </c>
      <c r="M117" s="85">
        <f t="shared" si="7"/>
        <v>0</v>
      </c>
      <c r="N117" s="39">
        <v>116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7.25" thickTop="1" thickBot="1">
      <c r="B118">
        <f>wyniki!B143</f>
        <v>0</v>
      </c>
      <c r="C118" s="19">
        <f>wyniki!I143</f>
        <v>0</v>
      </c>
      <c r="D118" s="18">
        <v>1.17E-3</v>
      </c>
      <c r="E118" s="19">
        <f t="shared" si="4"/>
        <v>1.17E-3</v>
      </c>
      <c r="F118">
        <f>wyniki!$A$140</f>
        <v>0</v>
      </c>
      <c r="J118" s="93">
        <f t="shared" si="5"/>
        <v>0</v>
      </c>
      <c r="K118" s="77">
        <f>LARGE($E$2:$E$241,117)</f>
        <v>1.9599999999999999E-3</v>
      </c>
      <c r="L118" s="67">
        <f t="shared" si="6"/>
        <v>196</v>
      </c>
      <c r="M118" s="85">
        <f t="shared" si="7"/>
        <v>0</v>
      </c>
      <c r="N118" s="39">
        <v>117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7.25" thickTop="1" thickBot="1">
      <c r="B119">
        <f>wyniki!B144</f>
        <v>0</v>
      </c>
      <c r="C119" s="19">
        <f>wyniki!I144</f>
        <v>0</v>
      </c>
      <c r="D119" s="18">
        <v>1.1800000000000001E-3</v>
      </c>
      <c r="E119" s="19">
        <f t="shared" si="4"/>
        <v>1.1800000000000001E-3</v>
      </c>
      <c r="F119">
        <f>wyniki!$A$140</f>
        <v>0</v>
      </c>
      <c r="J119" s="93">
        <f t="shared" si="5"/>
        <v>0</v>
      </c>
      <c r="K119" s="77">
        <f>LARGE($E$2:$E$241,118)</f>
        <v>1.9499999999999999E-3</v>
      </c>
      <c r="L119" s="67">
        <f t="shared" si="6"/>
        <v>195</v>
      </c>
      <c r="M119" s="85">
        <f t="shared" si="7"/>
        <v>0</v>
      </c>
      <c r="N119" s="39">
        <v>118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7.25" thickTop="1" thickBot="1">
      <c r="B120">
        <f>wyniki!B145</f>
        <v>0</v>
      </c>
      <c r="C120" s="19">
        <f>wyniki!I145</f>
        <v>0</v>
      </c>
      <c r="D120" s="18">
        <v>1.1900000000000001E-3</v>
      </c>
      <c r="E120" s="19">
        <f t="shared" si="4"/>
        <v>1.1900000000000001E-3</v>
      </c>
      <c r="F120">
        <f>wyniki!$A$140</f>
        <v>0</v>
      </c>
      <c r="J120" s="93">
        <f t="shared" si="5"/>
        <v>0</v>
      </c>
      <c r="K120" s="77">
        <f>LARGE($E$2:$E$241,119)</f>
        <v>1.9400000000000001E-3</v>
      </c>
      <c r="L120" s="67">
        <f t="shared" si="6"/>
        <v>194</v>
      </c>
      <c r="M120" s="85">
        <f t="shared" si="7"/>
        <v>0</v>
      </c>
      <c r="N120" s="39">
        <v>119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7.25" thickTop="1" thickBot="1">
      <c r="B121">
        <f>wyniki!B146</f>
        <v>0</v>
      </c>
      <c r="C121" s="19">
        <f>wyniki!I146</f>
        <v>0</v>
      </c>
      <c r="D121" s="18">
        <v>1.1999999999999999E-3</v>
      </c>
      <c r="E121" s="19">
        <f t="shared" si="4"/>
        <v>1.1999999999999999E-3</v>
      </c>
      <c r="F121">
        <f>wyniki!$A$140</f>
        <v>0</v>
      </c>
      <c r="J121" s="93">
        <f t="shared" si="5"/>
        <v>0</v>
      </c>
      <c r="K121" s="77">
        <f>LARGE($E$2:$E$241,120)</f>
        <v>1.9300000000000001E-3</v>
      </c>
      <c r="L121" s="67">
        <f t="shared" si="6"/>
        <v>193</v>
      </c>
      <c r="M121" s="85">
        <f t="shared" si="7"/>
        <v>0</v>
      </c>
      <c r="N121" s="39">
        <v>120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7.25" thickTop="1" thickBot="1">
      <c r="B122">
        <f>wyniki!B148</f>
        <v>0</v>
      </c>
      <c r="C122" s="19">
        <f>wyniki!I148</f>
        <v>0</v>
      </c>
      <c r="D122" s="18">
        <v>1.2099999999999999E-3</v>
      </c>
      <c r="E122" s="19">
        <f t="shared" si="4"/>
        <v>1.2099999999999999E-3</v>
      </c>
      <c r="F122">
        <f>wyniki!$A$147</f>
        <v>0</v>
      </c>
      <c r="J122" s="93">
        <f t="shared" si="5"/>
        <v>0</v>
      </c>
      <c r="K122" s="77">
        <f>LARGE($E$2:$E$241,121)</f>
        <v>1.92E-3</v>
      </c>
      <c r="L122" s="67">
        <f t="shared" si="6"/>
        <v>192</v>
      </c>
      <c r="M122" s="85">
        <f t="shared" si="7"/>
        <v>0</v>
      </c>
      <c r="N122" s="39">
        <v>121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7.25" thickTop="1" thickBot="1">
      <c r="B123">
        <f>wyniki!B149</f>
        <v>0</v>
      </c>
      <c r="C123" s="19">
        <f>wyniki!I149</f>
        <v>0</v>
      </c>
      <c r="D123" s="18">
        <v>1.2199999999999999E-3</v>
      </c>
      <c r="E123" s="19">
        <f t="shared" si="4"/>
        <v>1.2199999999999999E-3</v>
      </c>
      <c r="F123">
        <f>wyniki!$A$147</f>
        <v>0</v>
      </c>
      <c r="J123" s="93">
        <f t="shared" si="5"/>
        <v>0</v>
      </c>
      <c r="K123" s="77">
        <f>LARGE($E$2:$E$241,122)</f>
        <v>1.91E-3</v>
      </c>
      <c r="L123" s="67">
        <f t="shared" si="6"/>
        <v>191</v>
      </c>
      <c r="M123" s="85">
        <f t="shared" si="7"/>
        <v>0</v>
      </c>
      <c r="N123" s="39">
        <v>122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7.25" thickTop="1" thickBot="1">
      <c r="B124">
        <f>wyniki!B150</f>
        <v>0</v>
      </c>
      <c r="C124" s="19">
        <f>wyniki!I150</f>
        <v>0</v>
      </c>
      <c r="D124" s="18">
        <v>1.23E-3</v>
      </c>
      <c r="E124" s="19">
        <f t="shared" si="4"/>
        <v>1.23E-3</v>
      </c>
      <c r="F124">
        <f>wyniki!$A$147</f>
        <v>0</v>
      </c>
      <c r="J124" s="93">
        <f t="shared" si="5"/>
        <v>0</v>
      </c>
      <c r="K124" s="77">
        <f>LARGE($E$2:$E$241,123)</f>
        <v>1.9E-3</v>
      </c>
      <c r="L124" s="67">
        <f t="shared" si="6"/>
        <v>190</v>
      </c>
      <c r="M124" s="85">
        <f t="shared" si="7"/>
        <v>0</v>
      </c>
      <c r="N124" s="39">
        <v>123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7.25" thickTop="1" thickBot="1">
      <c r="B125">
        <f>wyniki!B151</f>
        <v>0</v>
      </c>
      <c r="C125" s="19">
        <f>wyniki!I151</f>
        <v>0</v>
      </c>
      <c r="D125" s="18">
        <v>1.24E-3</v>
      </c>
      <c r="E125" s="19">
        <f t="shared" si="4"/>
        <v>1.24E-3</v>
      </c>
      <c r="F125">
        <f>wyniki!$A$147</f>
        <v>0</v>
      </c>
      <c r="J125" s="93">
        <f t="shared" si="5"/>
        <v>0</v>
      </c>
      <c r="K125" s="77">
        <f>LARGE($E$2:$E$241,124)</f>
        <v>1.89E-3</v>
      </c>
      <c r="L125" s="67">
        <f t="shared" si="6"/>
        <v>189</v>
      </c>
      <c r="M125" s="85">
        <f t="shared" si="7"/>
        <v>0</v>
      </c>
      <c r="N125" s="39">
        <v>124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7.25" thickTop="1" thickBot="1">
      <c r="B126">
        <f>wyniki!B152</f>
        <v>0</v>
      </c>
      <c r="C126" s="19">
        <f>wyniki!I152</f>
        <v>0</v>
      </c>
      <c r="D126" s="18">
        <v>1.25E-3</v>
      </c>
      <c r="E126" s="19">
        <f t="shared" si="4"/>
        <v>1.25E-3</v>
      </c>
      <c r="F126">
        <f>wyniki!$A$147</f>
        <v>0</v>
      </c>
      <c r="J126" s="93">
        <f t="shared" si="5"/>
        <v>0</v>
      </c>
      <c r="K126" s="77">
        <f>LARGE($E$2:$E$241,125)</f>
        <v>1.8799999999999999E-3</v>
      </c>
      <c r="L126" s="67">
        <f t="shared" si="6"/>
        <v>188</v>
      </c>
      <c r="M126" s="85">
        <f t="shared" si="7"/>
        <v>0</v>
      </c>
      <c r="N126" s="39">
        <v>125</v>
      </c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7.25" thickTop="1" thickBot="1">
      <c r="B127">
        <f>wyniki!B153</f>
        <v>0</v>
      </c>
      <c r="C127" s="19">
        <f>wyniki!I153</f>
        <v>0</v>
      </c>
      <c r="D127" s="18">
        <v>1.2600000000000001E-3</v>
      </c>
      <c r="E127" s="19">
        <f t="shared" si="4"/>
        <v>1.2600000000000001E-3</v>
      </c>
      <c r="F127">
        <f>wyniki!$A$147</f>
        <v>0</v>
      </c>
      <c r="J127" s="93">
        <f t="shared" si="5"/>
        <v>0</v>
      </c>
      <c r="K127" s="77">
        <f>LARGE($E$2:$E$241,126)</f>
        <v>1.8699999999999999E-3</v>
      </c>
      <c r="L127" s="67">
        <f t="shared" si="6"/>
        <v>187</v>
      </c>
      <c r="M127" s="85">
        <f t="shared" si="7"/>
        <v>0</v>
      </c>
      <c r="N127" s="39">
        <v>126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7.25" thickTop="1" thickBot="1">
      <c r="B128">
        <f>wyniki!B155</f>
        <v>0</v>
      </c>
      <c r="C128" s="19">
        <f>wyniki!I155</f>
        <v>0</v>
      </c>
      <c r="D128" s="18">
        <v>1.2700000000000001E-3</v>
      </c>
      <c r="E128" s="19">
        <f t="shared" si="4"/>
        <v>1.2700000000000001E-3</v>
      </c>
      <c r="F128">
        <f>wyniki!$A$154</f>
        <v>0</v>
      </c>
      <c r="J128" s="93">
        <f t="shared" si="5"/>
        <v>0</v>
      </c>
      <c r="K128" s="77">
        <f>LARGE($E$2:$E$241,127)</f>
        <v>1.8600000000000001E-3</v>
      </c>
      <c r="L128" s="67">
        <f t="shared" si="6"/>
        <v>186</v>
      </c>
      <c r="M128" s="85">
        <f t="shared" si="7"/>
        <v>0</v>
      </c>
      <c r="N128" s="39">
        <v>127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7.25" thickTop="1" thickBot="1">
      <c r="B129">
        <f>wyniki!B156</f>
        <v>0</v>
      </c>
      <c r="C129" s="19">
        <f>wyniki!I156</f>
        <v>0</v>
      </c>
      <c r="D129" s="18">
        <v>1.2800000000000001E-3</v>
      </c>
      <c r="E129" s="19">
        <f t="shared" si="4"/>
        <v>1.2800000000000001E-3</v>
      </c>
      <c r="F129">
        <f>wyniki!$A$154</f>
        <v>0</v>
      </c>
      <c r="J129" s="93">
        <f t="shared" si="5"/>
        <v>0</v>
      </c>
      <c r="K129" s="77">
        <f>LARGE($E$2:$E$241,128)</f>
        <v>1.8500000000000001E-3</v>
      </c>
      <c r="L129" s="67">
        <f t="shared" si="6"/>
        <v>185</v>
      </c>
      <c r="M129" s="85">
        <f t="shared" si="7"/>
        <v>0</v>
      </c>
      <c r="N129" s="39">
        <v>128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7.25" thickTop="1" thickBot="1">
      <c r="B130">
        <f>wyniki!B157</f>
        <v>0</v>
      </c>
      <c r="C130" s="19">
        <f>wyniki!I157</f>
        <v>0</v>
      </c>
      <c r="D130" s="18">
        <v>1.2899999999999999E-3</v>
      </c>
      <c r="E130" s="19">
        <f t="shared" si="4"/>
        <v>1.2899999999999999E-3</v>
      </c>
      <c r="F130">
        <f>wyniki!$A$154</f>
        <v>0</v>
      </c>
      <c r="J130" s="93">
        <f t="shared" si="5"/>
        <v>0</v>
      </c>
      <c r="K130" s="77">
        <f>LARGE($E$2:$E$241,129)</f>
        <v>1.8400000000000001E-3</v>
      </c>
      <c r="L130" s="67">
        <f t="shared" si="6"/>
        <v>184</v>
      </c>
      <c r="M130" s="85">
        <f t="shared" si="7"/>
        <v>0</v>
      </c>
      <c r="N130" s="39">
        <v>129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7.25" thickTop="1" thickBot="1">
      <c r="B131">
        <f>wyniki!B158</f>
        <v>0</v>
      </c>
      <c r="C131" s="19">
        <f>wyniki!I158</f>
        <v>0</v>
      </c>
      <c r="D131" s="18">
        <v>1.2999999999999999E-3</v>
      </c>
      <c r="E131" s="19">
        <f t="shared" ref="E131:E194" si="8">C131+D131</f>
        <v>1.2999999999999999E-3</v>
      </c>
      <c r="F131">
        <f>wyniki!$A$154</f>
        <v>0</v>
      </c>
      <c r="J131" s="93">
        <f t="shared" ref="J131:J194" si="9">INDEX($B$2:$E$241,L131,1)</f>
        <v>0</v>
      </c>
      <c r="K131" s="77">
        <f>LARGE($E$2:$E$241,130)</f>
        <v>1.83E-3</v>
      </c>
      <c r="L131" s="67">
        <f t="shared" ref="L131:L194" si="10">MATCH(K131,$E$2:$E$241,0)</f>
        <v>183</v>
      </c>
      <c r="M131" s="85">
        <f t="shared" ref="M131:M194" si="11">INDEX($E$2:$F$241,L131,2)</f>
        <v>0</v>
      </c>
      <c r="N131" s="39">
        <v>130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7.25" thickTop="1" thickBot="1">
      <c r="B132">
        <f>wyniki!B159</f>
        <v>0</v>
      </c>
      <c r="C132" s="19">
        <f>wyniki!I159</f>
        <v>0</v>
      </c>
      <c r="D132" s="18">
        <v>1.31E-3</v>
      </c>
      <c r="E132" s="19">
        <f t="shared" si="8"/>
        <v>1.31E-3</v>
      </c>
      <c r="F132">
        <f>wyniki!$A$154</f>
        <v>0</v>
      </c>
      <c r="J132" s="93">
        <f t="shared" si="9"/>
        <v>0</v>
      </c>
      <c r="K132" s="77">
        <f>LARGE($E$2:$E$241,131)</f>
        <v>1.82E-3</v>
      </c>
      <c r="L132" s="67">
        <f t="shared" si="10"/>
        <v>182</v>
      </c>
      <c r="M132" s="85">
        <f t="shared" si="11"/>
        <v>0</v>
      </c>
      <c r="N132" s="39">
        <v>131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7.25" thickTop="1" thickBot="1">
      <c r="B133">
        <f>wyniki!B160</f>
        <v>0</v>
      </c>
      <c r="C133" s="19">
        <f>wyniki!I160</f>
        <v>0</v>
      </c>
      <c r="D133" s="18">
        <v>1.32E-3</v>
      </c>
      <c r="E133" s="19">
        <f t="shared" si="8"/>
        <v>1.32E-3</v>
      </c>
      <c r="F133">
        <f>wyniki!$A$154</f>
        <v>0</v>
      </c>
      <c r="J133" s="93">
        <f t="shared" si="9"/>
        <v>0</v>
      </c>
      <c r="K133" s="77">
        <f>LARGE($E$2:$E$241,132)</f>
        <v>1.81E-3</v>
      </c>
      <c r="L133" s="67">
        <f t="shared" si="10"/>
        <v>181</v>
      </c>
      <c r="M133" s="85">
        <f t="shared" si="11"/>
        <v>0</v>
      </c>
      <c r="N133" s="39">
        <v>132</v>
      </c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7.25" thickTop="1" thickBot="1">
      <c r="B134">
        <f>wyniki!B162</f>
        <v>0</v>
      </c>
      <c r="C134" s="19">
        <f>wyniki!I162</f>
        <v>0</v>
      </c>
      <c r="D134" s="18">
        <v>1.33E-3</v>
      </c>
      <c r="E134" s="19">
        <f t="shared" si="8"/>
        <v>1.33E-3</v>
      </c>
      <c r="F134">
        <f>wyniki!$A$161</f>
        <v>0</v>
      </c>
      <c r="J134" s="93">
        <f t="shared" si="9"/>
        <v>0</v>
      </c>
      <c r="K134" s="77">
        <f>LARGE($E$2:$E$241,133)</f>
        <v>1.8E-3</v>
      </c>
      <c r="L134" s="67">
        <f t="shared" si="10"/>
        <v>180</v>
      </c>
      <c r="M134" s="85">
        <f t="shared" si="11"/>
        <v>0</v>
      </c>
      <c r="N134" s="39">
        <v>133</v>
      </c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7.25" thickTop="1" thickBot="1">
      <c r="B135">
        <f>wyniki!B163</f>
        <v>0</v>
      </c>
      <c r="C135" s="19">
        <f>wyniki!I163</f>
        <v>0</v>
      </c>
      <c r="D135" s="18">
        <v>1.34E-3</v>
      </c>
      <c r="E135" s="19">
        <f t="shared" si="8"/>
        <v>1.34E-3</v>
      </c>
      <c r="F135">
        <f>wyniki!$A$161</f>
        <v>0</v>
      </c>
      <c r="J135" s="93">
        <f t="shared" si="9"/>
        <v>0</v>
      </c>
      <c r="K135" s="77">
        <f>LARGE($E$2:$E$241,134)</f>
        <v>1.7899999999999999E-3</v>
      </c>
      <c r="L135" s="67">
        <f t="shared" si="10"/>
        <v>179</v>
      </c>
      <c r="M135" s="85">
        <f t="shared" si="11"/>
        <v>0</v>
      </c>
      <c r="N135" s="39">
        <v>134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7.25" thickTop="1" thickBot="1">
      <c r="B136">
        <f>wyniki!B164</f>
        <v>0</v>
      </c>
      <c r="C136" s="19">
        <f>wyniki!I164</f>
        <v>0</v>
      </c>
      <c r="D136" s="18">
        <v>1.3500000000000001E-3</v>
      </c>
      <c r="E136" s="19">
        <f t="shared" si="8"/>
        <v>1.3500000000000001E-3</v>
      </c>
      <c r="F136">
        <f>wyniki!$A$161</f>
        <v>0</v>
      </c>
      <c r="J136" s="93">
        <f t="shared" si="9"/>
        <v>0</v>
      </c>
      <c r="K136" s="77">
        <f>LARGE($E$2:$E$241,135)</f>
        <v>1.7799999999999999E-3</v>
      </c>
      <c r="L136" s="67">
        <f t="shared" si="10"/>
        <v>178</v>
      </c>
      <c r="M136" s="85">
        <f t="shared" si="11"/>
        <v>0</v>
      </c>
      <c r="N136" s="39">
        <v>135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7.25" thickTop="1" thickBot="1">
      <c r="B137">
        <f>wyniki!B165</f>
        <v>0</v>
      </c>
      <c r="C137" s="19">
        <f>wyniki!I165</f>
        <v>0</v>
      </c>
      <c r="D137" s="18">
        <v>1.3600000000000001E-3</v>
      </c>
      <c r="E137" s="19">
        <f t="shared" si="8"/>
        <v>1.3600000000000001E-3</v>
      </c>
      <c r="F137">
        <f>wyniki!$A$161</f>
        <v>0</v>
      </c>
      <c r="J137" s="93">
        <f t="shared" si="9"/>
        <v>0</v>
      </c>
      <c r="K137" s="77">
        <f>LARGE($E$2:$E$241,136)</f>
        <v>1.7700000000000001E-3</v>
      </c>
      <c r="L137" s="67">
        <f t="shared" si="10"/>
        <v>177</v>
      </c>
      <c r="M137" s="85">
        <f t="shared" si="11"/>
        <v>0</v>
      </c>
      <c r="N137" s="39">
        <v>136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7.25" thickTop="1" thickBot="1">
      <c r="B138">
        <f>wyniki!B166</f>
        <v>0</v>
      </c>
      <c r="C138" s="19">
        <f>wyniki!I166</f>
        <v>0</v>
      </c>
      <c r="D138" s="18">
        <v>1.3699999999999999E-3</v>
      </c>
      <c r="E138" s="19">
        <f t="shared" si="8"/>
        <v>1.3699999999999999E-3</v>
      </c>
      <c r="F138">
        <f>wyniki!$A$161</f>
        <v>0</v>
      </c>
      <c r="J138" s="93">
        <f t="shared" si="9"/>
        <v>0</v>
      </c>
      <c r="K138" s="77">
        <f>LARGE($E$2:$E$241,137)</f>
        <v>1.7600000000000001E-3</v>
      </c>
      <c r="L138" s="67">
        <f t="shared" si="10"/>
        <v>176</v>
      </c>
      <c r="M138" s="85">
        <f t="shared" si="11"/>
        <v>0</v>
      </c>
      <c r="N138" s="39">
        <v>137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7.25" thickTop="1" thickBot="1">
      <c r="B139">
        <f>wyniki!B167</f>
        <v>0</v>
      </c>
      <c r="C139" s="19">
        <f>wyniki!I167</f>
        <v>0</v>
      </c>
      <c r="D139" s="18">
        <v>1.3799999999999999E-3</v>
      </c>
      <c r="E139" s="19">
        <f t="shared" si="8"/>
        <v>1.3799999999999999E-3</v>
      </c>
      <c r="F139">
        <f>wyniki!$A$161</f>
        <v>0</v>
      </c>
      <c r="J139" s="93">
        <f t="shared" si="9"/>
        <v>0</v>
      </c>
      <c r="K139" s="77">
        <f>LARGE($E$2:$E$241,138)</f>
        <v>1.75E-3</v>
      </c>
      <c r="L139" s="67">
        <f t="shared" si="10"/>
        <v>175</v>
      </c>
      <c r="M139" s="85">
        <f t="shared" si="11"/>
        <v>0</v>
      </c>
      <c r="N139" s="39">
        <v>138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7.25" thickTop="1" thickBot="1">
      <c r="B140">
        <f>wyniki!B169</f>
        <v>0</v>
      </c>
      <c r="C140" s="19">
        <f>wyniki!I169</f>
        <v>0</v>
      </c>
      <c r="D140" s="18">
        <v>1.39E-3</v>
      </c>
      <c r="E140" s="19">
        <f t="shared" si="8"/>
        <v>1.39E-3</v>
      </c>
      <c r="F140">
        <f>wyniki!$A$168</f>
        <v>0</v>
      </c>
      <c r="J140" s="93">
        <f t="shared" si="9"/>
        <v>0</v>
      </c>
      <c r="K140" s="77">
        <f>LARGE($E$2:$E$241,139)</f>
        <v>1.74E-3</v>
      </c>
      <c r="L140" s="67">
        <f t="shared" si="10"/>
        <v>174</v>
      </c>
      <c r="M140" s="85">
        <f t="shared" si="11"/>
        <v>0</v>
      </c>
      <c r="N140" s="39">
        <v>139</v>
      </c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7.25" thickTop="1" thickBot="1">
      <c r="B141">
        <f>wyniki!B170</f>
        <v>0</v>
      </c>
      <c r="C141" s="19">
        <f>wyniki!I170</f>
        <v>0</v>
      </c>
      <c r="D141" s="18">
        <v>1.4E-3</v>
      </c>
      <c r="E141" s="19">
        <f t="shared" si="8"/>
        <v>1.4E-3</v>
      </c>
      <c r="F141">
        <f>wyniki!$A$168</f>
        <v>0</v>
      </c>
      <c r="J141" s="93">
        <f t="shared" si="9"/>
        <v>0</v>
      </c>
      <c r="K141" s="77">
        <f>LARGE($E$2:$E$241,140)</f>
        <v>1.73E-3</v>
      </c>
      <c r="L141" s="67">
        <f t="shared" si="10"/>
        <v>173</v>
      </c>
      <c r="M141" s="85">
        <f t="shared" si="11"/>
        <v>0</v>
      </c>
      <c r="N141" s="39">
        <v>140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7.25" thickTop="1" thickBot="1">
      <c r="B142">
        <f>wyniki!B171</f>
        <v>0</v>
      </c>
      <c r="C142" s="19">
        <f>wyniki!I171</f>
        <v>0</v>
      </c>
      <c r="D142" s="18">
        <v>1.41E-3</v>
      </c>
      <c r="E142" s="19">
        <f t="shared" si="8"/>
        <v>1.41E-3</v>
      </c>
      <c r="F142">
        <f>wyniki!$A$168</f>
        <v>0</v>
      </c>
      <c r="J142" s="93">
        <f t="shared" si="9"/>
        <v>0</v>
      </c>
      <c r="K142" s="77">
        <f>LARGE($E$2:$E$241,141)</f>
        <v>1.72E-3</v>
      </c>
      <c r="L142" s="67">
        <f t="shared" si="10"/>
        <v>172</v>
      </c>
      <c r="M142" s="85">
        <f t="shared" si="11"/>
        <v>0</v>
      </c>
      <c r="N142" s="39">
        <v>141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7.25" thickTop="1" thickBot="1">
      <c r="B143">
        <f>wyniki!B172</f>
        <v>0</v>
      </c>
      <c r="C143" s="19">
        <f>wyniki!I172</f>
        <v>0</v>
      </c>
      <c r="D143" s="18">
        <v>1.42E-3</v>
      </c>
      <c r="E143" s="19">
        <f t="shared" si="8"/>
        <v>1.42E-3</v>
      </c>
      <c r="F143">
        <f>wyniki!$A$168</f>
        <v>0</v>
      </c>
      <c r="J143" s="93">
        <f t="shared" si="9"/>
        <v>0</v>
      </c>
      <c r="K143" s="77">
        <f>LARGE($E$2:$E$241,142)</f>
        <v>1.7099999999999999E-3</v>
      </c>
      <c r="L143" s="67">
        <f t="shared" si="10"/>
        <v>171</v>
      </c>
      <c r="M143" s="85">
        <f t="shared" si="11"/>
        <v>0</v>
      </c>
      <c r="N143" s="39">
        <v>142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7.25" thickTop="1" thickBot="1">
      <c r="B144">
        <f>wyniki!B173</f>
        <v>0</v>
      </c>
      <c r="C144" s="19">
        <f>wyniki!I173</f>
        <v>0</v>
      </c>
      <c r="D144" s="18">
        <v>1.4300000000000001E-3</v>
      </c>
      <c r="E144" s="19">
        <f t="shared" si="8"/>
        <v>1.4300000000000001E-3</v>
      </c>
      <c r="F144">
        <f>wyniki!$A$168</f>
        <v>0</v>
      </c>
      <c r="J144" s="93">
        <f t="shared" si="9"/>
        <v>0</v>
      </c>
      <c r="K144" s="77">
        <f>LARGE($E$2:$E$241,143)</f>
        <v>1.6999999999999999E-3</v>
      </c>
      <c r="L144" s="67">
        <f t="shared" si="10"/>
        <v>170</v>
      </c>
      <c r="M144" s="85">
        <f t="shared" si="11"/>
        <v>0</v>
      </c>
      <c r="N144" s="39">
        <v>143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7.25" thickTop="1" thickBot="1">
      <c r="B145">
        <f>wyniki!B174</f>
        <v>0</v>
      </c>
      <c r="C145" s="19">
        <f>wyniki!I174</f>
        <v>0</v>
      </c>
      <c r="D145" s="18">
        <v>1.4400000000000001E-3</v>
      </c>
      <c r="E145" s="19">
        <f t="shared" si="8"/>
        <v>1.4400000000000001E-3</v>
      </c>
      <c r="F145">
        <f>wyniki!$A$168</f>
        <v>0</v>
      </c>
      <c r="J145" s="93">
        <f t="shared" si="9"/>
        <v>0</v>
      </c>
      <c r="K145" s="77">
        <f>LARGE($E$2:$E$241,144)</f>
        <v>1.6900000000000001E-3</v>
      </c>
      <c r="L145" s="67">
        <f t="shared" si="10"/>
        <v>169</v>
      </c>
      <c r="M145" s="85">
        <f t="shared" si="11"/>
        <v>0</v>
      </c>
      <c r="N145" s="39">
        <v>144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7.25" thickTop="1" thickBot="1">
      <c r="B146">
        <f>wyniki!B176</f>
        <v>0</v>
      </c>
      <c r="C146" s="19">
        <f>wyniki!I176</f>
        <v>0</v>
      </c>
      <c r="D146" s="18">
        <v>1.4499999999999999E-3</v>
      </c>
      <c r="E146" s="19">
        <f t="shared" si="8"/>
        <v>1.4499999999999999E-3</v>
      </c>
      <c r="F146">
        <f>wyniki!$A$175</f>
        <v>0</v>
      </c>
      <c r="J146" s="93">
        <f t="shared" si="9"/>
        <v>0</v>
      </c>
      <c r="K146" s="77">
        <f>LARGE($E$2:$E$241,145)</f>
        <v>1.6800000000000001E-3</v>
      </c>
      <c r="L146" s="67">
        <f t="shared" si="10"/>
        <v>168</v>
      </c>
      <c r="M146" s="85">
        <f t="shared" si="11"/>
        <v>0</v>
      </c>
      <c r="N146" s="39">
        <v>145</v>
      </c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7.25" thickTop="1" thickBot="1">
      <c r="B147">
        <f>wyniki!B177</f>
        <v>0</v>
      </c>
      <c r="C147" s="19">
        <f>wyniki!I177</f>
        <v>0</v>
      </c>
      <c r="D147" s="18">
        <v>1.4599999999999999E-3</v>
      </c>
      <c r="E147" s="19">
        <f t="shared" si="8"/>
        <v>1.4599999999999999E-3</v>
      </c>
      <c r="F147">
        <f>wyniki!$A$175</f>
        <v>0</v>
      </c>
      <c r="J147" s="93">
        <f t="shared" si="9"/>
        <v>0</v>
      </c>
      <c r="K147" s="77">
        <f>LARGE($E$2:$E$241,146)</f>
        <v>1.67E-3</v>
      </c>
      <c r="L147" s="67">
        <f t="shared" si="10"/>
        <v>167</v>
      </c>
      <c r="M147" s="85">
        <f t="shared" si="11"/>
        <v>0</v>
      </c>
      <c r="N147" s="39">
        <v>146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7.25" thickTop="1" thickBot="1">
      <c r="B148">
        <f>wyniki!B178</f>
        <v>0</v>
      </c>
      <c r="C148" s="19">
        <f>wyniki!I178</f>
        <v>0</v>
      </c>
      <c r="D148" s="18">
        <v>1.47E-3</v>
      </c>
      <c r="E148" s="19">
        <f t="shared" si="8"/>
        <v>1.47E-3</v>
      </c>
      <c r="F148">
        <f>wyniki!$A$175</f>
        <v>0</v>
      </c>
      <c r="J148" s="93">
        <f t="shared" si="9"/>
        <v>0</v>
      </c>
      <c r="K148" s="77">
        <f>LARGE($E$2:$E$241,147)</f>
        <v>1.66E-3</v>
      </c>
      <c r="L148" s="67">
        <f t="shared" si="10"/>
        <v>166</v>
      </c>
      <c r="M148" s="85">
        <f t="shared" si="11"/>
        <v>0</v>
      </c>
      <c r="N148" s="39">
        <v>147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7.25" thickTop="1" thickBot="1">
      <c r="B149">
        <f>wyniki!B179</f>
        <v>0</v>
      </c>
      <c r="C149" s="19">
        <f>wyniki!I179</f>
        <v>0</v>
      </c>
      <c r="D149" s="18">
        <v>1.48E-3</v>
      </c>
      <c r="E149" s="19">
        <f t="shared" si="8"/>
        <v>1.48E-3</v>
      </c>
      <c r="F149">
        <f>wyniki!$A$175</f>
        <v>0</v>
      </c>
      <c r="J149" s="93">
        <f t="shared" si="9"/>
        <v>0</v>
      </c>
      <c r="K149" s="77">
        <f>LARGE($E$2:$E$241,148)</f>
        <v>1.65E-3</v>
      </c>
      <c r="L149" s="67">
        <f t="shared" si="10"/>
        <v>165</v>
      </c>
      <c r="M149" s="85">
        <f t="shared" si="11"/>
        <v>0</v>
      </c>
      <c r="N149" s="39">
        <v>148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7.25" thickTop="1" thickBot="1">
      <c r="B150">
        <f>wyniki!B180</f>
        <v>0</v>
      </c>
      <c r="C150" s="19">
        <f>wyniki!I180</f>
        <v>0</v>
      </c>
      <c r="D150" s="18">
        <v>1.49E-3</v>
      </c>
      <c r="E150" s="19">
        <f t="shared" si="8"/>
        <v>1.49E-3</v>
      </c>
      <c r="F150">
        <f>wyniki!$A$175</f>
        <v>0</v>
      </c>
      <c r="J150" s="93">
        <f t="shared" si="9"/>
        <v>0</v>
      </c>
      <c r="K150" s="77">
        <f>LARGE($E$2:$E$241,149)</f>
        <v>1.64E-3</v>
      </c>
      <c r="L150" s="67">
        <f t="shared" si="10"/>
        <v>164</v>
      </c>
      <c r="M150" s="85">
        <f t="shared" si="11"/>
        <v>0</v>
      </c>
      <c r="N150" s="39">
        <v>149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7.25" thickTop="1" thickBot="1">
      <c r="B151">
        <f>wyniki!B181</f>
        <v>0</v>
      </c>
      <c r="C151" s="19">
        <f>wyniki!I181</f>
        <v>0</v>
      </c>
      <c r="D151" s="18">
        <v>1.5E-3</v>
      </c>
      <c r="E151" s="19">
        <f t="shared" si="8"/>
        <v>1.5E-3</v>
      </c>
      <c r="F151">
        <f>wyniki!$A$175</f>
        <v>0</v>
      </c>
      <c r="J151" s="93">
        <f t="shared" si="9"/>
        <v>0</v>
      </c>
      <c r="K151" s="77">
        <f>LARGE($E$2:$E$241,150)</f>
        <v>1.6299999999999999E-3</v>
      </c>
      <c r="L151" s="67">
        <f t="shared" si="10"/>
        <v>163</v>
      </c>
      <c r="M151" s="85">
        <f t="shared" si="11"/>
        <v>0</v>
      </c>
      <c r="N151" s="39">
        <v>150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7.25" thickTop="1" thickBot="1">
      <c r="B152">
        <f>wyniki!B183</f>
        <v>0</v>
      </c>
      <c r="C152" s="19">
        <f>wyniki!I183</f>
        <v>0</v>
      </c>
      <c r="D152" s="18">
        <v>1.5100000000000001E-3</v>
      </c>
      <c r="E152" s="19">
        <f t="shared" si="8"/>
        <v>1.5100000000000001E-3</v>
      </c>
      <c r="F152">
        <f>wyniki!$A$182</f>
        <v>0</v>
      </c>
      <c r="J152" s="93">
        <f t="shared" si="9"/>
        <v>0</v>
      </c>
      <c r="K152" s="77">
        <f>LARGE($E$2:$E$241,151)</f>
        <v>1.6199999999999999E-3</v>
      </c>
      <c r="L152" s="67">
        <f t="shared" si="10"/>
        <v>162</v>
      </c>
      <c r="M152" s="85">
        <f t="shared" si="11"/>
        <v>0</v>
      </c>
      <c r="N152" s="39">
        <v>151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7.25" thickTop="1" thickBot="1">
      <c r="B153">
        <f>wyniki!B184</f>
        <v>0</v>
      </c>
      <c r="C153" s="19">
        <f>wyniki!I184</f>
        <v>0</v>
      </c>
      <c r="D153" s="18">
        <v>1.5200000000000001E-3</v>
      </c>
      <c r="E153" s="19">
        <f t="shared" si="8"/>
        <v>1.5200000000000001E-3</v>
      </c>
      <c r="F153">
        <f>wyniki!$A$182</f>
        <v>0</v>
      </c>
      <c r="J153" s="93">
        <f t="shared" si="9"/>
        <v>0</v>
      </c>
      <c r="K153" s="77">
        <f>LARGE($E$2:$E$241,152)</f>
        <v>1.6100000000000001E-3</v>
      </c>
      <c r="L153" s="67">
        <f t="shared" si="10"/>
        <v>161</v>
      </c>
      <c r="M153" s="85">
        <f t="shared" si="11"/>
        <v>0</v>
      </c>
      <c r="N153" s="39">
        <v>152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7.25" thickTop="1" thickBot="1">
      <c r="B154">
        <f>wyniki!B185</f>
        <v>0</v>
      </c>
      <c r="C154" s="19">
        <f>wyniki!I185</f>
        <v>0</v>
      </c>
      <c r="D154" s="18">
        <v>1.5299999999999999E-3</v>
      </c>
      <c r="E154" s="19">
        <f t="shared" si="8"/>
        <v>1.5299999999999999E-3</v>
      </c>
      <c r="F154">
        <f>wyniki!$A$182</f>
        <v>0</v>
      </c>
      <c r="J154" s="93">
        <f t="shared" si="9"/>
        <v>0</v>
      </c>
      <c r="K154" s="77">
        <f>LARGE($E$2:$E$241,153)</f>
        <v>1.6000000000000001E-3</v>
      </c>
      <c r="L154" s="67">
        <f t="shared" si="10"/>
        <v>160</v>
      </c>
      <c r="M154" s="85">
        <f t="shared" si="11"/>
        <v>0</v>
      </c>
      <c r="N154" s="39">
        <v>153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7.25" thickTop="1" thickBot="1">
      <c r="B155">
        <f>wyniki!B186</f>
        <v>0</v>
      </c>
      <c r="C155" s="19">
        <f>wyniki!I186</f>
        <v>0</v>
      </c>
      <c r="D155" s="18">
        <v>1.5399999999999999E-3</v>
      </c>
      <c r="E155" s="19">
        <f t="shared" si="8"/>
        <v>1.5399999999999999E-3</v>
      </c>
      <c r="F155">
        <f>wyniki!$A$182</f>
        <v>0</v>
      </c>
      <c r="J155" s="93">
        <f t="shared" si="9"/>
        <v>0</v>
      </c>
      <c r="K155" s="77">
        <f>LARGE($E$2:$E$241,154)</f>
        <v>1.5900000000000001E-3</v>
      </c>
      <c r="L155" s="67">
        <f t="shared" si="10"/>
        <v>159</v>
      </c>
      <c r="M155" s="85">
        <f t="shared" si="11"/>
        <v>0</v>
      </c>
      <c r="N155" s="39">
        <v>154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7.25" thickTop="1" thickBot="1">
      <c r="B156">
        <f>wyniki!B187</f>
        <v>0</v>
      </c>
      <c r="C156" s="19">
        <f>wyniki!I187</f>
        <v>0</v>
      </c>
      <c r="D156" s="18">
        <v>1.5499999999999999E-3</v>
      </c>
      <c r="E156" s="19">
        <f t="shared" si="8"/>
        <v>1.5499999999999999E-3</v>
      </c>
      <c r="F156">
        <f>wyniki!$A$182</f>
        <v>0</v>
      </c>
      <c r="J156" s="93">
        <f t="shared" si="9"/>
        <v>0</v>
      </c>
      <c r="K156" s="77">
        <f>LARGE($E$2:$E$241,155)</f>
        <v>1.58E-3</v>
      </c>
      <c r="L156" s="67">
        <f t="shared" si="10"/>
        <v>158</v>
      </c>
      <c r="M156" s="85">
        <f t="shared" si="11"/>
        <v>0</v>
      </c>
      <c r="N156" s="39">
        <v>155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7.25" thickTop="1" thickBot="1">
      <c r="B157">
        <f>wyniki!B188</f>
        <v>0</v>
      </c>
      <c r="C157" s="19">
        <f>wyniki!I188</f>
        <v>0</v>
      </c>
      <c r="D157" s="18">
        <v>1.56E-3</v>
      </c>
      <c r="E157" s="19">
        <f t="shared" si="8"/>
        <v>1.56E-3</v>
      </c>
      <c r="F157">
        <f>wyniki!$A$182</f>
        <v>0</v>
      </c>
      <c r="J157" s="93">
        <f t="shared" si="9"/>
        <v>0</v>
      </c>
      <c r="K157" s="77">
        <f>LARGE($E$2:$E$241,156)</f>
        <v>1.57E-3</v>
      </c>
      <c r="L157" s="67">
        <f t="shared" si="10"/>
        <v>157</v>
      </c>
      <c r="M157" s="85">
        <f t="shared" si="11"/>
        <v>0</v>
      </c>
      <c r="N157" s="39">
        <v>156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7.25" thickTop="1" thickBot="1">
      <c r="B158">
        <f>wyniki!B190</f>
        <v>0</v>
      </c>
      <c r="C158" s="19">
        <f>wyniki!I190</f>
        <v>0</v>
      </c>
      <c r="D158" s="18">
        <v>1.57E-3</v>
      </c>
      <c r="E158" s="19">
        <f t="shared" si="8"/>
        <v>1.57E-3</v>
      </c>
      <c r="F158">
        <f>wyniki!$A$189</f>
        <v>0</v>
      </c>
      <c r="J158" s="93">
        <f t="shared" si="9"/>
        <v>0</v>
      </c>
      <c r="K158" s="77">
        <f>LARGE($E$2:$E$241,157)</f>
        <v>1.56E-3</v>
      </c>
      <c r="L158" s="67">
        <f t="shared" si="10"/>
        <v>156</v>
      </c>
      <c r="M158" s="85">
        <f t="shared" si="11"/>
        <v>0</v>
      </c>
      <c r="N158" s="39">
        <v>157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7.25" thickTop="1" thickBot="1">
      <c r="B159">
        <f>wyniki!B191</f>
        <v>0</v>
      </c>
      <c r="C159" s="19">
        <f>wyniki!I191</f>
        <v>0</v>
      </c>
      <c r="D159" s="18">
        <v>1.58E-3</v>
      </c>
      <c r="E159" s="19">
        <f t="shared" si="8"/>
        <v>1.58E-3</v>
      </c>
      <c r="F159">
        <f>wyniki!$A$189</f>
        <v>0</v>
      </c>
      <c r="J159" s="93">
        <f t="shared" si="9"/>
        <v>0</v>
      </c>
      <c r="K159" s="77">
        <f>LARGE($E$2:$E$241,158)</f>
        <v>1.5499999999999999E-3</v>
      </c>
      <c r="L159" s="67">
        <f t="shared" si="10"/>
        <v>155</v>
      </c>
      <c r="M159" s="85">
        <f t="shared" si="11"/>
        <v>0</v>
      </c>
      <c r="N159" s="39">
        <v>158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7.25" thickTop="1" thickBot="1">
      <c r="B160">
        <f>wyniki!B192</f>
        <v>0</v>
      </c>
      <c r="C160" s="19">
        <f>wyniki!I192</f>
        <v>0</v>
      </c>
      <c r="D160" s="18">
        <v>1.5900000000000001E-3</v>
      </c>
      <c r="E160" s="19">
        <f t="shared" si="8"/>
        <v>1.5900000000000001E-3</v>
      </c>
      <c r="F160">
        <f>wyniki!$A$189</f>
        <v>0</v>
      </c>
      <c r="J160" s="93">
        <f t="shared" si="9"/>
        <v>0</v>
      </c>
      <c r="K160" s="77">
        <f>LARGE($E$2:$E$241,159)</f>
        <v>1.5399999999999999E-3</v>
      </c>
      <c r="L160" s="67">
        <f t="shared" si="10"/>
        <v>154</v>
      </c>
      <c r="M160" s="85">
        <f t="shared" si="11"/>
        <v>0</v>
      </c>
      <c r="N160" s="39">
        <v>159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7.25" thickTop="1" thickBot="1">
      <c r="B161">
        <f>wyniki!B193</f>
        <v>0</v>
      </c>
      <c r="C161" s="19">
        <f>wyniki!I193</f>
        <v>0</v>
      </c>
      <c r="D161" s="18">
        <v>1.6000000000000001E-3</v>
      </c>
      <c r="E161" s="19">
        <f t="shared" si="8"/>
        <v>1.6000000000000001E-3</v>
      </c>
      <c r="F161">
        <f>wyniki!$A$189</f>
        <v>0</v>
      </c>
      <c r="J161" s="93">
        <f t="shared" si="9"/>
        <v>0</v>
      </c>
      <c r="K161" s="77">
        <f>LARGE($E$2:$E$241,160)</f>
        <v>1.5299999999999999E-3</v>
      </c>
      <c r="L161" s="67">
        <f t="shared" si="10"/>
        <v>153</v>
      </c>
      <c r="M161" s="85">
        <f t="shared" si="11"/>
        <v>0</v>
      </c>
      <c r="N161" s="39">
        <v>160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7.25" thickTop="1" thickBot="1">
      <c r="B162">
        <f>wyniki!B194</f>
        <v>0</v>
      </c>
      <c r="C162" s="19">
        <f>wyniki!I194</f>
        <v>0</v>
      </c>
      <c r="D162" s="18">
        <v>1.6100000000000001E-3</v>
      </c>
      <c r="E162" s="19">
        <f t="shared" si="8"/>
        <v>1.6100000000000001E-3</v>
      </c>
      <c r="F162">
        <f>wyniki!$A$189</f>
        <v>0</v>
      </c>
      <c r="J162" s="93">
        <f t="shared" si="9"/>
        <v>0</v>
      </c>
      <c r="K162" s="77">
        <f>LARGE($E$2:$E$241,161)</f>
        <v>1.5200000000000001E-3</v>
      </c>
      <c r="L162" s="67">
        <f t="shared" si="10"/>
        <v>152</v>
      </c>
      <c r="M162" s="85">
        <f t="shared" si="11"/>
        <v>0</v>
      </c>
      <c r="N162" s="39">
        <v>161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7.25" thickTop="1" thickBot="1">
      <c r="B163">
        <f>wyniki!B195</f>
        <v>0</v>
      </c>
      <c r="C163" s="19">
        <f>wyniki!I195</f>
        <v>0</v>
      </c>
      <c r="D163" s="18">
        <v>1.6199999999999999E-3</v>
      </c>
      <c r="E163" s="19">
        <f t="shared" si="8"/>
        <v>1.6199999999999999E-3</v>
      </c>
      <c r="F163">
        <f>wyniki!$A$189</f>
        <v>0</v>
      </c>
      <c r="J163" s="93">
        <f t="shared" si="9"/>
        <v>0</v>
      </c>
      <c r="K163" s="77">
        <f>LARGE($E$2:$E$241,162)</f>
        <v>1.5100000000000001E-3</v>
      </c>
      <c r="L163" s="67">
        <f t="shared" si="10"/>
        <v>151</v>
      </c>
      <c r="M163" s="85">
        <f t="shared" si="11"/>
        <v>0</v>
      </c>
      <c r="N163" s="39">
        <v>162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2:31" ht="17.25" thickTop="1" thickBot="1">
      <c r="B164">
        <f>wyniki!B197</f>
        <v>0</v>
      </c>
      <c r="C164" s="19">
        <f>wyniki!I197</f>
        <v>0</v>
      </c>
      <c r="D164" s="18">
        <v>1.6299999999999999E-3</v>
      </c>
      <c r="E164" s="19">
        <f t="shared" si="8"/>
        <v>1.6299999999999999E-3</v>
      </c>
      <c r="F164">
        <f>wyniki!$A$196</f>
        <v>0</v>
      </c>
      <c r="J164" s="93">
        <f t="shared" si="9"/>
        <v>0</v>
      </c>
      <c r="K164" s="77">
        <f>LARGE($E$2:$E$241,163)</f>
        <v>1.5E-3</v>
      </c>
      <c r="L164" s="67">
        <f t="shared" si="10"/>
        <v>150</v>
      </c>
      <c r="M164" s="85">
        <f t="shared" si="11"/>
        <v>0</v>
      </c>
      <c r="N164" s="39">
        <v>163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2:31" ht="17.25" thickTop="1" thickBot="1">
      <c r="B165">
        <f>wyniki!B198</f>
        <v>0</v>
      </c>
      <c r="C165" s="19">
        <f>wyniki!I198</f>
        <v>0</v>
      </c>
      <c r="D165" s="18">
        <v>1.64E-3</v>
      </c>
      <c r="E165" s="19">
        <f t="shared" si="8"/>
        <v>1.64E-3</v>
      </c>
      <c r="F165">
        <f>wyniki!$A$196</f>
        <v>0</v>
      </c>
      <c r="J165" s="93">
        <f t="shared" si="9"/>
        <v>0</v>
      </c>
      <c r="K165" s="77">
        <f>LARGE($E$2:$E$241,164)</f>
        <v>1.49E-3</v>
      </c>
      <c r="L165" s="67">
        <f t="shared" si="10"/>
        <v>149</v>
      </c>
      <c r="M165" s="85">
        <f t="shared" si="11"/>
        <v>0</v>
      </c>
      <c r="N165" s="39">
        <v>164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2:31" ht="17.25" thickTop="1" thickBot="1">
      <c r="B166">
        <f>wyniki!B199</f>
        <v>0</v>
      </c>
      <c r="C166" s="19">
        <f>wyniki!I199</f>
        <v>0</v>
      </c>
      <c r="D166" s="18">
        <v>1.65E-3</v>
      </c>
      <c r="E166" s="19">
        <f t="shared" si="8"/>
        <v>1.65E-3</v>
      </c>
      <c r="F166">
        <f>wyniki!$A$196</f>
        <v>0</v>
      </c>
      <c r="J166" s="93">
        <f t="shared" si="9"/>
        <v>0</v>
      </c>
      <c r="K166" s="77">
        <f>LARGE($E$2:$E$241,165)</f>
        <v>1.48E-3</v>
      </c>
      <c r="L166" s="67">
        <f t="shared" si="10"/>
        <v>148</v>
      </c>
      <c r="M166" s="85">
        <f t="shared" si="11"/>
        <v>0</v>
      </c>
      <c r="N166" s="39">
        <v>165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2:31" ht="17.25" thickTop="1" thickBot="1">
      <c r="B167">
        <f>wyniki!B200</f>
        <v>0</v>
      </c>
      <c r="C167" s="19">
        <f>wyniki!I200</f>
        <v>0</v>
      </c>
      <c r="D167" s="18">
        <v>1.66E-3</v>
      </c>
      <c r="E167" s="19">
        <f t="shared" si="8"/>
        <v>1.66E-3</v>
      </c>
      <c r="F167">
        <f>wyniki!$A$196</f>
        <v>0</v>
      </c>
      <c r="J167" s="93">
        <f t="shared" si="9"/>
        <v>0</v>
      </c>
      <c r="K167" s="77">
        <f>LARGE($E$2:$E$241,166)</f>
        <v>1.47E-3</v>
      </c>
      <c r="L167" s="67">
        <f t="shared" si="10"/>
        <v>147</v>
      </c>
      <c r="M167" s="85">
        <f t="shared" si="11"/>
        <v>0</v>
      </c>
      <c r="N167" s="39">
        <v>166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2:31" ht="17.25" thickTop="1" thickBot="1">
      <c r="B168">
        <f>wyniki!B201</f>
        <v>0</v>
      </c>
      <c r="C168" s="19">
        <f>wyniki!I201</f>
        <v>0</v>
      </c>
      <c r="D168" s="18">
        <v>1.67E-3</v>
      </c>
      <c r="E168" s="19">
        <f t="shared" si="8"/>
        <v>1.67E-3</v>
      </c>
      <c r="F168">
        <f>wyniki!$A$196</f>
        <v>0</v>
      </c>
      <c r="J168" s="93">
        <f t="shared" si="9"/>
        <v>0</v>
      </c>
      <c r="K168" s="77">
        <f>LARGE($E$2:$E$241,167)</f>
        <v>1.4599999999999999E-3</v>
      </c>
      <c r="L168" s="67">
        <f t="shared" si="10"/>
        <v>146</v>
      </c>
      <c r="M168" s="85">
        <f t="shared" si="11"/>
        <v>0</v>
      </c>
      <c r="N168" s="39">
        <v>167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2:31" ht="17.25" thickTop="1" thickBot="1">
      <c r="B169">
        <f>wyniki!B202</f>
        <v>0</v>
      </c>
      <c r="C169" s="19">
        <f>wyniki!I202</f>
        <v>0</v>
      </c>
      <c r="D169" s="18">
        <v>1.6800000000000001E-3</v>
      </c>
      <c r="E169" s="19">
        <f t="shared" si="8"/>
        <v>1.6800000000000001E-3</v>
      </c>
      <c r="F169">
        <f>wyniki!$A$196</f>
        <v>0</v>
      </c>
      <c r="J169" s="93">
        <f t="shared" si="9"/>
        <v>0</v>
      </c>
      <c r="K169" s="77">
        <f>LARGE($E$2:$E$241,168)</f>
        <v>1.4499999999999999E-3</v>
      </c>
      <c r="L169" s="67">
        <f t="shared" si="10"/>
        <v>145</v>
      </c>
      <c r="M169" s="85">
        <f t="shared" si="11"/>
        <v>0</v>
      </c>
      <c r="N169" s="39">
        <v>168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2:31" ht="17.25" thickTop="1" thickBot="1">
      <c r="B170">
        <f>wyniki!B204</f>
        <v>0</v>
      </c>
      <c r="C170" s="19">
        <f>wyniki!I204</f>
        <v>0</v>
      </c>
      <c r="D170" s="18">
        <v>1.6900000000000001E-3</v>
      </c>
      <c r="E170" s="19">
        <f t="shared" si="8"/>
        <v>1.6900000000000001E-3</v>
      </c>
      <c r="F170">
        <f>wyniki!$A$203</f>
        <v>0</v>
      </c>
      <c r="J170" s="93">
        <f t="shared" si="9"/>
        <v>0</v>
      </c>
      <c r="K170" s="77">
        <f>LARGE($E$2:$E$241,169)</f>
        <v>1.4400000000000001E-3</v>
      </c>
      <c r="L170" s="67">
        <f t="shared" si="10"/>
        <v>144</v>
      </c>
      <c r="M170" s="85">
        <f t="shared" si="11"/>
        <v>0</v>
      </c>
      <c r="N170" s="39">
        <v>169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2:31" ht="17.25" thickTop="1" thickBot="1">
      <c r="B171">
        <f>wyniki!B205</f>
        <v>0</v>
      </c>
      <c r="C171" s="19">
        <f>wyniki!I205</f>
        <v>0</v>
      </c>
      <c r="D171" s="18">
        <v>1.6999999999999999E-3</v>
      </c>
      <c r="E171" s="19">
        <f t="shared" si="8"/>
        <v>1.6999999999999999E-3</v>
      </c>
      <c r="F171">
        <f>wyniki!$A$203</f>
        <v>0</v>
      </c>
      <c r="J171" s="93">
        <f t="shared" si="9"/>
        <v>0</v>
      </c>
      <c r="K171" s="77">
        <f>LARGE($E$2:$E$241,170)</f>
        <v>1.4300000000000001E-3</v>
      </c>
      <c r="L171" s="67">
        <f t="shared" si="10"/>
        <v>143</v>
      </c>
      <c r="M171" s="85">
        <f t="shared" si="11"/>
        <v>0</v>
      </c>
      <c r="N171" s="39">
        <v>170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2:31" ht="17.25" thickTop="1" thickBot="1">
      <c r="B172">
        <f>wyniki!B206</f>
        <v>0</v>
      </c>
      <c r="C172" s="19">
        <f>wyniki!I206</f>
        <v>0</v>
      </c>
      <c r="D172" s="18">
        <v>1.7099999999999999E-3</v>
      </c>
      <c r="E172" s="19">
        <f t="shared" si="8"/>
        <v>1.7099999999999999E-3</v>
      </c>
      <c r="F172">
        <f>wyniki!$A$203</f>
        <v>0</v>
      </c>
      <c r="J172" s="93">
        <f t="shared" si="9"/>
        <v>0</v>
      </c>
      <c r="K172" s="77">
        <f>LARGE($E$2:$E$241,171)</f>
        <v>1.42E-3</v>
      </c>
      <c r="L172" s="67">
        <f t="shared" si="10"/>
        <v>142</v>
      </c>
      <c r="M172" s="85">
        <f t="shared" si="11"/>
        <v>0</v>
      </c>
      <c r="N172" s="39">
        <v>171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2:31" ht="17.25" thickTop="1" thickBot="1">
      <c r="B173">
        <f>wyniki!B207</f>
        <v>0</v>
      </c>
      <c r="C173" s="19">
        <f>wyniki!I207</f>
        <v>0</v>
      </c>
      <c r="D173" s="18">
        <v>1.72E-3</v>
      </c>
      <c r="E173" s="19">
        <f t="shared" si="8"/>
        <v>1.72E-3</v>
      </c>
      <c r="F173">
        <f>wyniki!$A$203</f>
        <v>0</v>
      </c>
      <c r="J173" s="93">
        <f t="shared" si="9"/>
        <v>0</v>
      </c>
      <c r="K173" s="77">
        <f>LARGE($E$2:$E$241,172)</f>
        <v>1.41E-3</v>
      </c>
      <c r="L173" s="67">
        <f t="shared" si="10"/>
        <v>141</v>
      </c>
      <c r="M173" s="85">
        <f t="shared" si="11"/>
        <v>0</v>
      </c>
      <c r="N173" s="39">
        <v>172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2:31" ht="17.25" thickTop="1" thickBot="1">
      <c r="B174">
        <f>wyniki!B208</f>
        <v>0</v>
      </c>
      <c r="C174" s="19">
        <f>wyniki!I208</f>
        <v>0</v>
      </c>
      <c r="D174" s="18">
        <v>1.73E-3</v>
      </c>
      <c r="E174" s="19">
        <f t="shared" si="8"/>
        <v>1.73E-3</v>
      </c>
      <c r="F174">
        <f>wyniki!$A$203</f>
        <v>0</v>
      </c>
      <c r="J174" s="93">
        <f t="shared" si="9"/>
        <v>0</v>
      </c>
      <c r="K174" s="77">
        <f>LARGE($E$2:$E$241,173)</f>
        <v>1.4E-3</v>
      </c>
      <c r="L174" s="67">
        <f t="shared" si="10"/>
        <v>140</v>
      </c>
      <c r="M174" s="85">
        <f t="shared" si="11"/>
        <v>0</v>
      </c>
      <c r="N174" s="39">
        <v>173</v>
      </c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 spans="2:31" ht="17.25" thickTop="1" thickBot="1">
      <c r="B175">
        <f>wyniki!B209</f>
        <v>0</v>
      </c>
      <c r="C175" s="19">
        <f>wyniki!I209</f>
        <v>0</v>
      </c>
      <c r="D175" s="18">
        <v>1.74E-3</v>
      </c>
      <c r="E175" s="19">
        <f t="shared" si="8"/>
        <v>1.74E-3</v>
      </c>
      <c r="F175">
        <f>wyniki!$A$203</f>
        <v>0</v>
      </c>
      <c r="J175" s="93">
        <f t="shared" si="9"/>
        <v>0</v>
      </c>
      <c r="K175" s="77">
        <f>LARGE($E$2:$E$241,174)</f>
        <v>1.39E-3</v>
      </c>
      <c r="L175" s="67">
        <f t="shared" si="10"/>
        <v>139</v>
      </c>
      <c r="M175" s="85">
        <f t="shared" si="11"/>
        <v>0</v>
      </c>
      <c r="N175" s="39">
        <v>174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2:31" ht="17.25" thickTop="1" thickBot="1">
      <c r="B176">
        <f>wyniki!B211</f>
        <v>0</v>
      </c>
      <c r="C176" s="19">
        <f>wyniki!I211</f>
        <v>0</v>
      </c>
      <c r="D176" s="18">
        <v>1.75E-3</v>
      </c>
      <c r="E176" s="19">
        <f t="shared" si="8"/>
        <v>1.75E-3</v>
      </c>
      <c r="F176">
        <f>wyniki!$A$210</f>
        <v>0</v>
      </c>
      <c r="J176" s="93">
        <f t="shared" si="9"/>
        <v>0</v>
      </c>
      <c r="K176" s="77">
        <f>LARGE($E$2:$E$241,175)</f>
        <v>1.3799999999999999E-3</v>
      </c>
      <c r="L176" s="67">
        <f t="shared" si="10"/>
        <v>138</v>
      </c>
      <c r="M176" s="85">
        <f t="shared" si="11"/>
        <v>0</v>
      </c>
      <c r="N176" s="39">
        <v>175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2:31" ht="17.25" thickTop="1" thickBot="1">
      <c r="B177">
        <f>wyniki!B212</f>
        <v>0</v>
      </c>
      <c r="C177" s="19">
        <f>wyniki!I212</f>
        <v>0</v>
      </c>
      <c r="D177" s="18">
        <v>1.7600000000000001E-3</v>
      </c>
      <c r="E177" s="19">
        <f t="shared" si="8"/>
        <v>1.7600000000000001E-3</v>
      </c>
      <c r="F177">
        <f>wyniki!$A$210</f>
        <v>0</v>
      </c>
      <c r="J177" s="93">
        <f t="shared" si="9"/>
        <v>0</v>
      </c>
      <c r="K177" s="77">
        <f>LARGE($E$2:$E$241,176)</f>
        <v>1.3699999999999999E-3</v>
      </c>
      <c r="L177" s="67">
        <f t="shared" si="10"/>
        <v>137</v>
      </c>
      <c r="M177" s="85">
        <f t="shared" si="11"/>
        <v>0</v>
      </c>
      <c r="N177" s="39">
        <v>176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2:31" ht="17.25" thickTop="1" thickBot="1">
      <c r="B178">
        <f>wyniki!B213</f>
        <v>0</v>
      </c>
      <c r="C178" s="19">
        <f>wyniki!I213</f>
        <v>0</v>
      </c>
      <c r="D178" s="18">
        <v>1.7700000000000001E-3</v>
      </c>
      <c r="E178" s="19">
        <f t="shared" si="8"/>
        <v>1.7700000000000001E-3</v>
      </c>
      <c r="F178">
        <f>wyniki!$A$210</f>
        <v>0</v>
      </c>
      <c r="J178" s="93">
        <f t="shared" si="9"/>
        <v>0</v>
      </c>
      <c r="K178" s="77">
        <f>LARGE($E$2:$E$241,177)</f>
        <v>1.3600000000000001E-3</v>
      </c>
      <c r="L178" s="67">
        <f t="shared" si="10"/>
        <v>136</v>
      </c>
      <c r="M178" s="85">
        <f t="shared" si="11"/>
        <v>0</v>
      </c>
      <c r="N178" s="39">
        <v>177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2:31" ht="17.25" thickTop="1" thickBot="1">
      <c r="B179">
        <f>wyniki!B214</f>
        <v>0</v>
      </c>
      <c r="C179" s="19">
        <f>wyniki!I214</f>
        <v>0</v>
      </c>
      <c r="D179" s="18">
        <v>1.7799999999999999E-3</v>
      </c>
      <c r="E179" s="19">
        <f t="shared" si="8"/>
        <v>1.7799999999999999E-3</v>
      </c>
      <c r="F179">
        <f>wyniki!$A$210</f>
        <v>0</v>
      </c>
      <c r="J179" s="93">
        <f t="shared" si="9"/>
        <v>0</v>
      </c>
      <c r="K179" s="77">
        <f>LARGE($E$2:$E$241,178)</f>
        <v>1.3500000000000001E-3</v>
      </c>
      <c r="L179" s="67">
        <f t="shared" si="10"/>
        <v>135</v>
      </c>
      <c r="M179" s="85">
        <f t="shared" si="11"/>
        <v>0</v>
      </c>
      <c r="N179" s="39">
        <v>178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2:31" ht="17.25" thickTop="1" thickBot="1">
      <c r="B180">
        <f>wyniki!B215</f>
        <v>0</v>
      </c>
      <c r="C180" s="19">
        <f>wyniki!I215</f>
        <v>0</v>
      </c>
      <c r="D180" s="18">
        <v>1.7899999999999999E-3</v>
      </c>
      <c r="E180" s="19">
        <f t="shared" si="8"/>
        <v>1.7899999999999999E-3</v>
      </c>
      <c r="F180">
        <f>wyniki!$A$210</f>
        <v>0</v>
      </c>
      <c r="J180" s="93">
        <f t="shared" si="9"/>
        <v>0</v>
      </c>
      <c r="K180" s="77">
        <f>LARGE($E$2:$E$241,179)</f>
        <v>1.34E-3</v>
      </c>
      <c r="L180" s="67">
        <f t="shared" si="10"/>
        <v>134</v>
      </c>
      <c r="M180" s="85">
        <f t="shared" si="11"/>
        <v>0</v>
      </c>
      <c r="N180" s="39">
        <v>179</v>
      </c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 spans="2:31" ht="17.25" thickTop="1" thickBot="1">
      <c r="B181">
        <f>wyniki!B216</f>
        <v>0</v>
      </c>
      <c r="C181" s="19">
        <f>wyniki!I216</f>
        <v>0</v>
      </c>
      <c r="D181" s="18">
        <v>1.8E-3</v>
      </c>
      <c r="E181" s="19">
        <f t="shared" si="8"/>
        <v>1.8E-3</v>
      </c>
      <c r="F181">
        <f>wyniki!$A$210</f>
        <v>0</v>
      </c>
      <c r="J181" s="93">
        <f t="shared" si="9"/>
        <v>0</v>
      </c>
      <c r="K181" s="77">
        <f>LARGE($E$2:$E$241,180)</f>
        <v>1.33E-3</v>
      </c>
      <c r="L181" s="67">
        <f t="shared" si="10"/>
        <v>133</v>
      </c>
      <c r="M181" s="85">
        <f t="shared" si="11"/>
        <v>0</v>
      </c>
      <c r="N181" s="39">
        <v>180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2:31" ht="17.25" thickTop="1" thickBot="1">
      <c r="B182">
        <f>wyniki!B218</f>
        <v>0</v>
      </c>
      <c r="C182" s="19">
        <f>wyniki!I218</f>
        <v>0</v>
      </c>
      <c r="D182" s="18">
        <v>1.81E-3</v>
      </c>
      <c r="E182" s="19">
        <f t="shared" si="8"/>
        <v>1.81E-3</v>
      </c>
      <c r="F182">
        <f>wyniki!$A$217</f>
        <v>0</v>
      </c>
      <c r="J182" s="93">
        <f t="shared" si="9"/>
        <v>0</v>
      </c>
      <c r="K182" s="77">
        <f>LARGE($E$2:$E$241,181)</f>
        <v>1.32E-3</v>
      </c>
      <c r="L182" s="67">
        <f t="shared" si="10"/>
        <v>132</v>
      </c>
      <c r="M182" s="85">
        <f t="shared" si="11"/>
        <v>0</v>
      </c>
      <c r="N182" s="39">
        <v>181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 spans="2:31" ht="17.25" thickTop="1" thickBot="1">
      <c r="B183">
        <f>wyniki!B219</f>
        <v>0</v>
      </c>
      <c r="C183" s="19">
        <f>wyniki!I219</f>
        <v>0</v>
      </c>
      <c r="D183" s="18">
        <v>1.82E-3</v>
      </c>
      <c r="E183" s="19">
        <f t="shared" si="8"/>
        <v>1.82E-3</v>
      </c>
      <c r="F183">
        <f>wyniki!$A$217</f>
        <v>0</v>
      </c>
      <c r="J183" s="93">
        <f t="shared" si="9"/>
        <v>0</v>
      </c>
      <c r="K183" s="77">
        <f>LARGE($E$2:$E$241,182)</f>
        <v>1.31E-3</v>
      </c>
      <c r="L183" s="67">
        <f t="shared" si="10"/>
        <v>131</v>
      </c>
      <c r="M183" s="85">
        <f t="shared" si="11"/>
        <v>0</v>
      </c>
      <c r="N183" s="39">
        <v>182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2:31" ht="17.25" thickTop="1" thickBot="1">
      <c r="B184">
        <f>wyniki!B220</f>
        <v>0</v>
      </c>
      <c r="C184" s="19">
        <f>wyniki!I220</f>
        <v>0</v>
      </c>
      <c r="D184" s="18">
        <v>1.83E-3</v>
      </c>
      <c r="E184" s="19">
        <f t="shared" si="8"/>
        <v>1.83E-3</v>
      </c>
      <c r="F184">
        <f>wyniki!$A$217</f>
        <v>0</v>
      </c>
      <c r="J184" s="93">
        <f t="shared" si="9"/>
        <v>0</v>
      </c>
      <c r="K184" s="77">
        <f>LARGE($E$2:$E$241,183)</f>
        <v>1.2999999999999999E-3</v>
      </c>
      <c r="L184" s="67">
        <f t="shared" si="10"/>
        <v>130</v>
      </c>
      <c r="M184" s="85">
        <f t="shared" si="11"/>
        <v>0</v>
      </c>
      <c r="N184" s="39">
        <v>183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7.25" thickTop="1" thickBot="1">
      <c r="B185">
        <f>wyniki!B221</f>
        <v>0</v>
      </c>
      <c r="C185" s="19">
        <f>wyniki!I221</f>
        <v>0</v>
      </c>
      <c r="D185" s="18">
        <v>1.8400000000000001E-3</v>
      </c>
      <c r="E185" s="19">
        <f t="shared" si="8"/>
        <v>1.8400000000000001E-3</v>
      </c>
      <c r="F185">
        <f>wyniki!$A$217</f>
        <v>0</v>
      </c>
      <c r="J185" s="93">
        <f t="shared" si="9"/>
        <v>0</v>
      </c>
      <c r="K185" s="77">
        <f>LARGE($E$2:$E$241,184)</f>
        <v>1.2899999999999999E-3</v>
      </c>
      <c r="L185" s="67">
        <f t="shared" si="10"/>
        <v>129</v>
      </c>
      <c r="M185" s="85">
        <f t="shared" si="11"/>
        <v>0</v>
      </c>
      <c r="N185" s="39">
        <v>184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7.25" thickTop="1" thickBot="1">
      <c r="B186">
        <f>wyniki!B222</f>
        <v>0</v>
      </c>
      <c r="C186" s="19">
        <f>wyniki!I222</f>
        <v>0</v>
      </c>
      <c r="D186" s="18">
        <v>1.8500000000000001E-3</v>
      </c>
      <c r="E186" s="19">
        <f t="shared" si="8"/>
        <v>1.8500000000000001E-3</v>
      </c>
      <c r="F186">
        <f>wyniki!$A$217</f>
        <v>0</v>
      </c>
      <c r="J186" s="93">
        <f t="shared" si="9"/>
        <v>0</v>
      </c>
      <c r="K186" s="77">
        <f>LARGE($E$2:$E$241,185)</f>
        <v>1.2800000000000001E-3</v>
      </c>
      <c r="L186" s="67">
        <f t="shared" si="10"/>
        <v>128</v>
      </c>
      <c r="M186" s="85">
        <f t="shared" si="11"/>
        <v>0</v>
      </c>
      <c r="N186" s="39">
        <v>185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7.25" thickTop="1" thickBot="1">
      <c r="B187">
        <f>wyniki!B223</f>
        <v>0</v>
      </c>
      <c r="C187" s="19">
        <f>wyniki!I223</f>
        <v>0</v>
      </c>
      <c r="D187" s="18">
        <v>1.8600000000000001E-3</v>
      </c>
      <c r="E187" s="19">
        <f t="shared" si="8"/>
        <v>1.8600000000000001E-3</v>
      </c>
      <c r="F187">
        <f>wyniki!$A$217</f>
        <v>0</v>
      </c>
      <c r="J187" s="93">
        <f t="shared" si="9"/>
        <v>0</v>
      </c>
      <c r="K187" s="77">
        <f>LARGE($E$2:$E$241,186)</f>
        <v>1.2700000000000001E-3</v>
      </c>
      <c r="L187" s="67">
        <f t="shared" si="10"/>
        <v>127</v>
      </c>
      <c r="M187" s="85">
        <f t="shared" si="11"/>
        <v>0</v>
      </c>
      <c r="N187" s="39">
        <v>186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7.25" thickTop="1" thickBot="1">
      <c r="B188">
        <f>wyniki!B225</f>
        <v>0</v>
      </c>
      <c r="C188" s="19">
        <f>wyniki!I225</f>
        <v>0</v>
      </c>
      <c r="D188" s="18">
        <v>1.8699999999999999E-3</v>
      </c>
      <c r="E188" s="19">
        <f t="shared" si="8"/>
        <v>1.8699999999999999E-3</v>
      </c>
      <c r="F188">
        <f>wyniki!$A$224</f>
        <v>0</v>
      </c>
      <c r="J188" s="93">
        <f t="shared" si="9"/>
        <v>0</v>
      </c>
      <c r="K188" s="77">
        <f>LARGE($E$2:$E$241,187)</f>
        <v>1.2600000000000001E-3</v>
      </c>
      <c r="L188" s="67">
        <f t="shared" si="10"/>
        <v>126</v>
      </c>
      <c r="M188" s="85">
        <f t="shared" si="11"/>
        <v>0</v>
      </c>
      <c r="N188" s="39">
        <v>187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7.25" thickTop="1" thickBot="1">
      <c r="B189">
        <f>wyniki!B226</f>
        <v>0</v>
      </c>
      <c r="C189" s="19">
        <f>wyniki!I226</f>
        <v>0</v>
      </c>
      <c r="D189" s="18">
        <v>1.8799999999999999E-3</v>
      </c>
      <c r="E189" s="19">
        <f t="shared" si="8"/>
        <v>1.8799999999999999E-3</v>
      </c>
      <c r="F189">
        <f>wyniki!$A$224</f>
        <v>0</v>
      </c>
      <c r="J189" s="93">
        <f t="shared" si="9"/>
        <v>0</v>
      </c>
      <c r="K189" s="77">
        <f>LARGE($E$2:$E$241,188)</f>
        <v>1.25E-3</v>
      </c>
      <c r="L189" s="67">
        <f t="shared" si="10"/>
        <v>125</v>
      </c>
      <c r="M189" s="85">
        <f t="shared" si="11"/>
        <v>0</v>
      </c>
      <c r="N189" s="39">
        <v>188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7.25" thickTop="1" thickBot="1">
      <c r="B190">
        <f>wyniki!B227</f>
        <v>0</v>
      </c>
      <c r="C190" s="19">
        <f>wyniki!I227</f>
        <v>0</v>
      </c>
      <c r="D190" s="18">
        <v>1.89E-3</v>
      </c>
      <c r="E190" s="19">
        <f t="shared" si="8"/>
        <v>1.89E-3</v>
      </c>
      <c r="F190">
        <f>wyniki!$A$224</f>
        <v>0</v>
      </c>
      <c r="J190" s="93">
        <f t="shared" si="9"/>
        <v>0</v>
      </c>
      <c r="K190" s="77">
        <f>LARGE($E$2:$E$241,189)</f>
        <v>1.24E-3</v>
      </c>
      <c r="L190" s="67">
        <f t="shared" si="10"/>
        <v>124</v>
      </c>
      <c r="M190" s="85">
        <f t="shared" si="11"/>
        <v>0</v>
      </c>
      <c r="N190" s="39">
        <v>189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7.25" thickTop="1" thickBot="1">
      <c r="B191">
        <f>wyniki!B228</f>
        <v>0</v>
      </c>
      <c r="C191" s="19">
        <f>wyniki!I228</f>
        <v>0</v>
      </c>
      <c r="D191" s="18">
        <v>1.9E-3</v>
      </c>
      <c r="E191" s="19">
        <f t="shared" si="8"/>
        <v>1.9E-3</v>
      </c>
      <c r="F191">
        <f>wyniki!$A$224</f>
        <v>0</v>
      </c>
      <c r="J191" s="93">
        <f t="shared" si="9"/>
        <v>0</v>
      </c>
      <c r="K191" s="77">
        <f>LARGE($E$2:$E$241,190)</f>
        <v>1.23E-3</v>
      </c>
      <c r="L191" s="67">
        <f t="shared" si="10"/>
        <v>123</v>
      </c>
      <c r="M191" s="85">
        <f t="shared" si="11"/>
        <v>0</v>
      </c>
      <c r="N191" s="39">
        <v>190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7.25" thickTop="1" thickBot="1">
      <c r="B192">
        <f>wyniki!B229</f>
        <v>0</v>
      </c>
      <c r="C192" s="19">
        <f>wyniki!I229</f>
        <v>0</v>
      </c>
      <c r="D192" s="18">
        <v>1.91E-3</v>
      </c>
      <c r="E192" s="19">
        <f t="shared" si="8"/>
        <v>1.91E-3</v>
      </c>
      <c r="F192">
        <f>wyniki!$A$224</f>
        <v>0</v>
      </c>
      <c r="J192" s="93">
        <f t="shared" si="9"/>
        <v>0</v>
      </c>
      <c r="K192" s="77">
        <f>LARGE($E$2:$E$241,191)</f>
        <v>1.2199999999999999E-3</v>
      </c>
      <c r="L192" s="67">
        <f t="shared" si="10"/>
        <v>122</v>
      </c>
      <c r="M192" s="85">
        <f t="shared" si="11"/>
        <v>0</v>
      </c>
      <c r="N192" s="39">
        <v>191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7.25" thickTop="1" thickBot="1">
      <c r="B193">
        <f>wyniki!B230</f>
        <v>0</v>
      </c>
      <c r="C193" s="19">
        <f>wyniki!I230</f>
        <v>0</v>
      </c>
      <c r="D193" s="18">
        <v>1.92E-3</v>
      </c>
      <c r="E193" s="19">
        <f t="shared" si="8"/>
        <v>1.92E-3</v>
      </c>
      <c r="F193">
        <f>wyniki!$A$224</f>
        <v>0</v>
      </c>
      <c r="J193" s="93">
        <f t="shared" si="9"/>
        <v>0</v>
      </c>
      <c r="K193" s="77">
        <f>LARGE($E$2:$E$241,192)</f>
        <v>1.2099999999999999E-3</v>
      </c>
      <c r="L193" s="67">
        <f t="shared" si="10"/>
        <v>121</v>
      </c>
      <c r="M193" s="85">
        <f t="shared" si="11"/>
        <v>0</v>
      </c>
      <c r="N193" s="39">
        <v>192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7.25" thickTop="1" thickBot="1">
      <c r="B194">
        <f>wyniki!B232</f>
        <v>0</v>
      </c>
      <c r="C194" s="19">
        <f>wyniki!I232</f>
        <v>0</v>
      </c>
      <c r="D194" s="18">
        <v>1.9300000000000001E-3</v>
      </c>
      <c r="E194" s="19">
        <f t="shared" si="8"/>
        <v>1.9300000000000001E-3</v>
      </c>
      <c r="F194">
        <f>wyniki!$A$231</f>
        <v>0</v>
      </c>
      <c r="J194" s="93">
        <f t="shared" si="9"/>
        <v>0</v>
      </c>
      <c r="K194" s="77">
        <f>LARGE($E$2:$E$241,193)</f>
        <v>1.1999999999999999E-3</v>
      </c>
      <c r="L194" s="67">
        <f t="shared" si="10"/>
        <v>120</v>
      </c>
      <c r="M194" s="85">
        <f t="shared" si="11"/>
        <v>0</v>
      </c>
      <c r="N194" s="39">
        <v>193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7.25" thickTop="1" thickBot="1">
      <c r="B195">
        <f>wyniki!B233</f>
        <v>0</v>
      </c>
      <c r="C195" s="19">
        <f>wyniki!I233</f>
        <v>0</v>
      </c>
      <c r="D195" s="18">
        <v>1.9400000000000001E-3</v>
      </c>
      <c r="E195" s="19">
        <f t="shared" ref="E195:E241" si="12">C195+D195</f>
        <v>1.9400000000000001E-3</v>
      </c>
      <c r="F195">
        <f>wyniki!$A$231</f>
        <v>0</v>
      </c>
      <c r="J195" s="93">
        <f t="shared" ref="J195:J241" si="13">INDEX($B$2:$E$241,L195,1)</f>
        <v>0</v>
      </c>
      <c r="K195" s="77">
        <f>LARGE($E$2:$E$241,194)</f>
        <v>1.1900000000000001E-3</v>
      </c>
      <c r="L195" s="67">
        <f t="shared" ref="L195:L241" si="14">MATCH(K195,$E$2:$E$241,0)</f>
        <v>119</v>
      </c>
      <c r="M195" s="85">
        <f t="shared" ref="M195:M241" si="15">INDEX($E$2:$F$241,L195,2)</f>
        <v>0</v>
      </c>
      <c r="N195" s="39">
        <v>194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7.25" thickTop="1" thickBot="1">
      <c r="B196">
        <f>wyniki!B234</f>
        <v>0</v>
      </c>
      <c r="C196" s="19">
        <f>wyniki!I234</f>
        <v>0</v>
      </c>
      <c r="D196" s="18">
        <v>1.9499999999999999E-3</v>
      </c>
      <c r="E196" s="19">
        <f t="shared" si="12"/>
        <v>1.9499999999999999E-3</v>
      </c>
      <c r="F196">
        <f>wyniki!$A$231</f>
        <v>0</v>
      </c>
      <c r="J196" s="93">
        <f t="shared" si="13"/>
        <v>0</v>
      </c>
      <c r="K196" s="77">
        <f>LARGE($E$2:$E$241,195)</f>
        <v>1.1800000000000001E-3</v>
      </c>
      <c r="L196" s="67">
        <f t="shared" si="14"/>
        <v>118</v>
      </c>
      <c r="M196" s="85">
        <f t="shared" si="15"/>
        <v>0</v>
      </c>
      <c r="N196" s="39">
        <v>195</v>
      </c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7.25" thickTop="1" thickBot="1">
      <c r="B197">
        <f>wyniki!B235</f>
        <v>0</v>
      </c>
      <c r="C197" s="19">
        <f>wyniki!I235</f>
        <v>0</v>
      </c>
      <c r="D197" s="18">
        <v>1.9599999999999999E-3</v>
      </c>
      <c r="E197" s="19">
        <f t="shared" si="12"/>
        <v>1.9599999999999999E-3</v>
      </c>
      <c r="F197">
        <f>wyniki!$A$231</f>
        <v>0</v>
      </c>
      <c r="J197" s="93">
        <f t="shared" si="13"/>
        <v>0</v>
      </c>
      <c r="K197" s="77">
        <f>LARGE($E$2:$E$241,196)</f>
        <v>1.17E-3</v>
      </c>
      <c r="L197" s="67">
        <f t="shared" si="14"/>
        <v>117</v>
      </c>
      <c r="M197" s="85">
        <f t="shared" si="15"/>
        <v>0</v>
      </c>
      <c r="N197" s="39">
        <v>196</v>
      </c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7.25" thickTop="1" thickBot="1">
      <c r="B198">
        <f>wyniki!B236</f>
        <v>0</v>
      </c>
      <c r="C198" s="19">
        <f>wyniki!I236</f>
        <v>0</v>
      </c>
      <c r="D198" s="18">
        <v>1.97E-3</v>
      </c>
      <c r="E198" s="19">
        <f t="shared" si="12"/>
        <v>1.97E-3</v>
      </c>
      <c r="F198">
        <f>wyniki!$A$231</f>
        <v>0</v>
      </c>
      <c r="J198" s="93">
        <f t="shared" si="13"/>
        <v>0</v>
      </c>
      <c r="K198" s="77">
        <f>LARGE($E$2:$E$241,197)</f>
        <v>1.16E-3</v>
      </c>
      <c r="L198" s="67">
        <f t="shared" si="14"/>
        <v>116</v>
      </c>
      <c r="M198" s="85">
        <f t="shared" si="15"/>
        <v>0</v>
      </c>
      <c r="N198" s="39">
        <v>197</v>
      </c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7.25" thickTop="1" thickBot="1">
      <c r="B199">
        <f>wyniki!B237</f>
        <v>0</v>
      </c>
      <c r="C199" s="19">
        <f>wyniki!I237</f>
        <v>0</v>
      </c>
      <c r="D199" s="18">
        <v>1.98E-3</v>
      </c>
      <c r="E199" s="19">
        <f t="shared" si="12"/>
        <v>1.98E-3</v>
      </c>
      <c r="F199">
        <f>wyniki!$A$231</f>
        <v>0</v>
      </c>
      <c r="J199" s="93">
        <f t="shared" si="13"/>
        <v>0</v>
      </c>
      <c r="K199" s="77">
        <f>LARGE($E$2:$E$241,198)</f>
        <v>1.15E-3</v>
      </c>
      <c r="L199" s="67">
        <f t="shared" si="14"/>
        <v>115</v>
      </c>
      <c r="M199" s="85">
        <f t="shared" si="15"/>
        <v>0</v>
      </c>
      <c r="N199" s="39">
        <v>198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7.25" thickTop="1" thickBot="1">
      <c r="B200">
        <f>wyniki!B239</f>
        <v>0</v>
      </c>
      <c r="C200" s="19">
        <f>wyniki!I239</f>
        <v>0</v>
      </c>
      <c r="D200" s="18">
        <v>1.99E-3</v>
      </c>
      <c r="E200" s="19">
        <f t="shared" si="12"/>
        <v>1.99E-3</v>
      </c>
      <c r="F200">
        <f>wyniki!$A$238</f>
        <v>0</v>
      </c>
      <c r="J200" s="93">
        <f t="shared" si="13"/>
        <v>0</v>
      </c>
      <c r="K200" s="77">
        <f>LARGE($E$2:$E$241,199)</f>
        <v>1.14E-3</v>
      </c>
      <c r="L200" s="67">
        <f t="shared" si="14"/>
        <v>114</v>
      </c>
      <c r="M200" s="85">
        <f t="shared" si="15"/>
        <v>0</v>
      </c>
      <c r="N200" s="39">
        <v>199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7.25" thickTop="1" thickBot="1">
      <c r="B201">
        <f>wyniki!B240</f>
        <v>0</v>
      </c>
      <c r="C201" s="19">
        <f>wyniki!I240</f>
        <v>0</v>
      </c>
      <c r="D201" s="18">
        <v>2E-3</v>
      </c>
      <c r="E201" s="19">
        <f t="shared" si="12"/>
        <v>2E-3</v>
      </c>
      <c r="F201">
        <f>wyniki!$A$238</f>
        <v>0</v>
      </c>
      <c r="J201" s="93">
        <f t="shared" si="13"/>
        <v>0</v>
      </c>
      <c r="K201" s="77">
        <f>LARGE($E$2:$E$241,200)</f>
        <v>1.1299999999999999E-3</v>
      </c>
      <c r="L201" s="67">
        <f t="shared" si="14"/>
        <v>113</v>
      </c>
      <c r="M201" s="85">
        <f t="shared" si="15"/>
        <v>0</v>
      </c>
      <c r="N201" s="39">
        <v>200</v>
      </c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7.25" thickTop="1" thickBot="1">
      <c r="B202">
        <f>wyniki!B241</f>
        <v>0</v>
      </c>
      <c r="C202" s="19">
        <f>wyniki!I241</f>
        <v>0</v>
      </c>
      <c r="D202" s="18">
        <v>2.0100000000000001E-3</v>
      </c>
      <c r="E202" s="19">
        <f t="shared" si="12"/>
        <v>2.0100000000000001E-3</v>
      </c>
      <c r="F202">
        <f>wyniki!$A$238</f>
        <v>0</v>
      </c>
      <c r="J202" s="93">
        <f t="shared" si="13"/>
        <v>0</v>
      </c>
      <c r="K202" s="77">
        <f>LARGE($E$2:$E$241,201)</f>
        <v>1.1199999999999999E-3</v>
      </c>
      <c r="L202" s="67">
        <f t="shared" si="14"/>
        <v>112</v>
      </c>
      <c r="M202" s="85">
        <f t="shared" si="15"/>
        <v>0</v>
      </c>
      <c r="N202" s="39">
        <v>201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7.25" thickTop="1" thickBot="1">
      <c r="B203">
        <f>wyniki!B242</f>
        <v>0</v>
      </c>
      <c r="C203" s="19">
        <f>wyniki!I242</f>
        <v>0</v>
      </c>
      <c r="D203" s="18">
        <v>2.0200000000000001E-3</v>
      </c>
      <c r="E203" s="19">
        <f t="shared" si="12"/>
        <v>2.0200000000000001E-3</v>
      </c>
      <c r="F203">
        <f>wyniki!$A$238</f>
        <v>0</v>
      </c>
      <c r="J203" s="93">
        <f t="shared" si="13"/>
        <v>0</v>
      </c>
      <c r="K203" s="77">
        <f>LARGE($E$2:$E$241,202)</f>
        <v>1.1100000000000001E-3</v>
      </c>
      <c r="L203" s="67">
        <f t="shared" si="14"/>
        <v>111</v>
      </c>
      <c r="M203" s="85">
        <f t="shared" si="15"/>
        <v>0</v>
      </c>
      <c r="N203" s="39">
        <v>202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7.25" thickTop="1" thickBot="1">
      <c r="B204">
        <f>wyniki!B243</f>
        <v>0</v>
      </c>
      <c r="C204" s="19">
        <f>wyniki!I243</f>
        <v>0</v>
      </c>
      <c r="D204" s="18">
        <v>2.0300000000000001E-3</v>
      </c>
      <c r="E204" s="19">
        <f t="shared" si="12"/>
        <v>2.0300000000000001E-3</v>
      </c>
      <c r="F204">
        <f>wyniki!$A$238</f>
        <v>0</v>
      </c>
      <c r="J204" s="93">
        <f t="shared" si="13"/>
        <v>0</v>
      </c>
      <c r="K204" s="77">
        <f>LARGE($E$2:$E$241,203)</f>
        <v>1.1000000000000001E-3</v>
      </c>
      <c r="L204" s="67">
        <f t="shared" si="14"/>
        <v>110</v>
      </c>
      <c r="M204" s="85">
        <f t="shared" si="15"/>
        <v>0</v>
      </c>
      <c r="N204" s="39">
        <v>203</v>
      </c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7.25" thickTop="1" thickBot="1">
      <c r="B205">
        <f>wyniki!B244</f>
        <v>0</v>
      </c>
      <c r="C205" s="19">
        <f>wyniki!I244</f>
        <v>0</v>
      </c>
      <c r="D205" s="18">
        <v>2.0400000000000001E-3</v>
      </c>
      <c r="E205" s="19">
        <f t="shared" si="12"/>
        <v>2.0400000000000001E-3</v>
      </c>
      <c r="F205">
        <f>wyniki!$A$238</f>
        <v>0</v>
      </c>
      <c r="J205" s="93">
        <f t="shared" si="13"/>
        <v>0</v>
      </c>
      <c r="K205" s="77">
        <f>LARGE($E$2:$E$241,204)</f>
        <v>1.09E-3</v>
      </c>
      <c r="L205" s="67">
        <f t="shared" si="14"/>
        <v>109</v>
      </c>
      <c r="M205" s="85">
        <f t="shared" si="15"/>
        <v>0</v>
      </c>
      <c r="N205" s="39">
        <v>204</v>
      </c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7.25" thickTop="1" thickBot="1">
      <c r="B206">
        <f>wyniki!B246</f>
        <v>0</v>
      </c>
      <c r="C206" s="19">
        <f>wyniki!I246</f>
        <v>0</v>
      </c>
      <c r="D206" s="18">
        <v>2.0500000000000002E-3</v>
      </c>
      <c r="E206" s="19">
        <f t="shared" si="12"/>
        <v>2.0500000000000002E-3</v>
      </c>
      <c r="F206">
        <f>wyniki!$A$245</f>
        <v>0</v>
      </c>
      <c r="J206" s="93">
        <f t="shared" si="13"/>
        <v>0</v>
      </c>
      <c r="K206" s="77">
        <f>LARGE($E$2:$E$241,205)</f>
        <v>1.08E-3</v>
      </c>
      <c r="L206" s="67">
        <f t="shared" si="14"/>
        <v>108</v>
      </c>
      <c r="M206" s="85">
        <f t="shared" si="15"/>
        <v>0</v>
      </c>
      <c r="N206" s="39">
        <v>205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7.25" thickTop="1" thickBot="1">
      <c r="B207">
        <f>wyniki!B247</f>
        <v>0</v>
      </c>
      <c r="C207" s="19">
        <f>wyniki!I247</f>
        <v>0</v>
      </c>
      <c r="D207" s="18">
        <v>2.0600000000000002E-3</v>
      </c>
      <c r="E207" s="19">
        <f t="shared" si="12"/>
        <v>2.0600000000000002E-3</v>
      </c>
      <c r="F207">
        <f>wyniki!$A$245</f>
        <v>0</v>
      </c>
      <c r="J207" s="93">
        <f t="shared" si="13"/>
        <v>0</v>
      </c>
      <c r="K207" s="77">
        <f>LARGE($E$2:$E$241,206)</f>
        <v>1.07E-3</v>
      </c>
      <c r="L207" s="67">
        <f t="shared" si="14"/>
        <v>107</v>
      </c>
      <c r="M207" s="85">
        <f t="shared" si="15"/>
        <v>0</v>
      </c>
      <c r="N207" s="39">
        <v>206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7.25" thickTop="1" thickBot="1">
      <c r="B208">
        <f>wyniki!B248</f>
        <v>0</v>
      </c>
      <c r="C208" s="19">
        <f>wyniki!I248</f>
        <v>0</v>
      </c>
      <c r="D208" s="18">
        <v>2.0699999999999998E-3</v>
      </c>
      <c r="E208" s="19">
        <f t="shared" si="12"/>
        <v>2.0699999999999998E-3</v>
      </c>
      <c r="F208">
        <f>wyniki!$A$245</f>
        <v>0</v>
      </c>
      <c r="J208" s="93">
        <f t="shared" si="13"/>
        <v>0</v>
      </c>
      <c r="K208" s="77">
        <f>LARGE($E$2:$E$241,207)</f>
        <v>1.06E-3</v>
      </c>
      <c r="L208" s="67">
        <f t="shared" si="14"/>
        <v>106</v>
      </c>
      <c r="M208" s="85">
        <f t="shared" si="15"/>
        <v>0</v>
      </c>
      <c r="N208" s="39">
        <v>207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7.25" thickTop="1" thickBot="1">
      <c r="B209">
        <f>wyniki!B249</f>
        <v>0</v>
      </c>
      <c r="C209" s="19">
        <f>wyniki!I249</f>
        <v>0</v>
      </c>
      <c r="D209" s="18">
        <v>2.0799999999999998E-3</v>
      </c>
      <c r="E209" s="19">
        <f t="shared" si="12"/>
        <v>2.0799999999999998E-3</v>
      </c>
      <c r="F209">
        <f>wyniki!$A$245</f>
        <v>0</v>
      </c>
      <c r="J209" s="93">
        <f t="shared" si="13"/>
        <v>0</v>
      </c>
      <c r="K209" s="77">
        <f>LARGE($E$2:$E$241,208)</f>
        <v>1.0499999999999999E-3</v>
      </c>
      <c r="L209" s="67">
        <f t="shared" si="14"/>
        <v>105</v>
      </c>
      <c r="M209" s="85">
        <f t="shared" si="15"/>
        <v>0</v>
      </c>
      <c r="N209" s="39">
        <v>208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7.25" thickTop="1" thickBot="1">
      <c r="B210">
        <f>wyniki!B250</f>
        <v>0</v>
      </c>
      <c r="C210" s="19">
        <f>wyniki!I250</f>
        <v>0</v>
      </c>
      <c r="D210" s="18">
        <v>2.0899999999999998E-3</v>
      </c>
      <c r="E210" s="19">
        <f t="shared" si="12"/>
        <v>2.0899999999999998E-3</v>
      </c>
      <c r="F210">
        <f>wyniki!$A$245</f>
        <v>0</v>
      </c>
      <c r="J210" s="93">
        <f t="shared" si="13"/>
        <v>0</v>
      </c>
      <c r="K210" s="77">
        <f>LARGE($E$2:$E$241,209)</f>
        <v>1.0399999999999999E-3</v>
      </c>
      <c r="L210" s="67">
        <f t="shared" si="14"/>
        <v>104</v>
      </c>
      <c r="M210" s="85">
        <f t="shared" si="15"/>
        <v>0</v>
      </c>
      <c r="N210" s="39">
        <v>209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7.25" thickTop="1" thickBot="1">
      <c r="B211">
        <f>wyniki!B251</f>
        <v>0</v>
      </c>
      <c r="C211" s="19">
        <f>wyniki!I251</f>
        <v>0</v>
      </c>
      <c r="D211" s="18">
        <v>2.0999999999999999E-3</v>
      </c>
      <c r="E211" s="19">
        <f t="shared" si="12"/>
        <v>2.0999999999999999E-3</v>
      </c>
      <c r="F211">
        <f>wyniki!$A$245</f>
        <v>0</v>
      </c>
      <c r="J211" s="93">
        <f t="shared" si="13"/>
        <v>0</v>
      </c>
      <c r="K211" s="77">
        <f>LARGE($E$2:$E$241,210)</f>
        <v>1.0300000000000001E-3</v>
      </c>
      <c r="L211" s="67">
        <f t="shared" si="14"/>
        <v>103</v>
      </c>
      <c r="M211" s="85">
        <f t="shared" si="15"/>
        <v>0</v>
      </c>
      <c r="N211" s="39">
        <v>210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7.25" thickTop="1" thickBot="1">
      <c r="B212">
        <f>wyniki!B253</f>
        <v>0</v>
      </c>
      <c r="C212" s="19">
        <f>wyniki!I253</f>
        <v>0</v>
      </c>
      <c r="D212" s="18">
        <v>2.1099999999999999E-3</v>
      </c>
      <c r="E212" s="19">
        <f t="shared" si="12"/>
        <v>2.1099999999999999E-3</v>
      </c>
      <c r="F212">
        <f>wyniki!$A$252</f>
        <v>0</v>
      </c>
      <c r="J212" s="93">
        <f t="shared" si="13"/>
        <v>0</v>
      </c>
      <c r="K212" s="77">
        <f>LARGE($E$2:$E$241,211)</f>
        <v>1.0200000000000001E-3</v>
      </c>
      <c r="L212" s="67">
        <f t="shared" si="14"/>
        <v>102</v>
      </c>
      <c r="M212" s="85">
        <f t="shared" si="15"/>
        <v>0</v>
      </c>
      <c r="N212" s="39">
        <v>211</v>
      </c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7.25" thickTop="1" thickBot="1">
      <c r="B213">
        <f>wyniki!B254</f>
        <v>0</v>
      </c>
      <c r="C213" s="19">
        <f>wyniki!I254</f>
        <v>0</v>
      </c>
      <c r="D213" s="18">
        <v>2.1199999999999999E-3</v>
      </c>
      <c r="E213" s="19">
        <f t="shared" si="12"/>
        <v>2.1199999999999999E-3</v>
      </c>
      <c r="F213">
        <f>wyniki!$A$252</f>
        <v>0</v>
      </c>
      <c r="J213" s="93">
        <f t="shared" si="13"/>
        <v>0</v>
      </c>
      <c r="K213" s="77">
        <f>LARGE($E$2:$E$241,212)</f>
        <v>1.01E-3</v>
      </c>
      <c r="L213" s="67">
        <f t="shared" si="14"/>
        <v>101</v>
      </c>
      <c r="M213" s="85">
        <f t="shared" si="15"/>
        <v>0</v>
      </c>
      <c r="N213" s="39">
        <v>212</v>
      </c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7.25" thickTop="1" thickBot="1">
      <c r="B214">
        <f>wyniki!B255</f>
        <v>0</v>
      </c>
      <c r="C214" s="19">
        <f>wyniki!I255</f>
        <v>0</v>
      </c>
      <c r="D214" s="18">
        <v>2.1299999999999999E-3</v>
      </c>
      <c r="E214" s="19">
        <f t="shared" si="12"/>
        <v>2.1299999999999999E-3</v>
      </c>
      <c r="F214">
        <f>wyniki!$A$252</f>
        <v>0</v>
      </c>
      <c r="J214" s="93">
        <f t="shared" si="13"/>
        <v>0</v>
      </c>
      <c r="K214" s="77">
        <f>LARGE($E$2:$E$241,213)</f>
        <v>1E-3</v>
      </c>
      <c r="L214" s="67">
        <f t="shared" si="14"/>
        <v>100</v>
      </c>
      <c r="M214" s="85">
        <f t="shared" si="15"/>
        <v>0</v>
      </c>
      <c r="N214" s="39">
        <v>213</v>
      </c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7.25" thickTop="1" thickBot="1">
      <c r="B215">
        <f>wyniki!B256</f>
        <v>0</v>
      </c>
      <c r="C215" s="19">
        <f>wyniki!I256</f>
        <v>0</v>
      </c>
      <c r="D215" s="18">
        <v>2.14E-3</v>
      </c>
      <c r="E215" s="19">
        <f t="shared" si="12"/>
        <v>2.14E-3</v>
      </c>
      <c r="F215">
        <f>wyniki!$A$252</f>
        <v>0</v>
      </c>
      <c r="J215" s="93">
        <f t="shared" si="13"/>
        <v>0</v>
      </c>
      <c r="K215" s="77">
        <f>LARGE($E$2:$E$241,214)</f>
        <v>9.8999999999999999E-4</v>
      </c>
      <c r="L215" s="67">
        <f t="shared" si="14"/>
        <v>99</v>
      </c>
      <c r="M215" s="85">
        <f t="shared" si="15"/>
        <v>0</v>
      </c>
      <c r="N215" s="39">
        <v>214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7.25" thickTop="1" thickBot="1">
      <c r="B216">
        <f>wyniki!B257</f>
        <v>0</v>
      </c>
      <c r="C216" s="19">
        <f>wyniki!I257</f>
        <v>0</v>
      </c>
      <c r="D216" s="18">
        <v>2.15E-3</v>
      </c>
      <c r="E216" s="19">
        <f t="shared" si="12"/>
        <v>2.15E-3</v>
      </c>
      <c r="F216">
        <f>wyniki!$A$252</f>
        <v>0</v>
      </c>
      <c r="J216" s="93">
        <f t="shared" si="13"/>
        <v>0</v>
      </c>
      <c r="K216" s="77">
        <f>LARGE($E$2:$E$241,215)</f>
        <v>9.7999999999999997E-4</v>
      </c>
      <c r="L216" s="67">
        <f t="shared" si="14"/>
        <v>98</v>
      </c>
      <c r="M216" s="85">
        <f t="shared" si="15"/>
        <v>0</v>
      </c>
      <c r="N216" s="39">
        <v>215</v>
      </c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7.25" thickTop="1" thickBot="1">
      <c r="B217">
        <f>wyniki!B258</f>
        <v>0</v>
      </c>
      <c r="C217" s="19">
        <f>wyniki!I258</f>
        <v>0</v>
      </c>
      <c r="D217" s="18">
        <v>2.16E-3</v>
      </c>
      <c r="E217" s="19">
        <f t="shared" si="12"/>
        <v>2.16E-3</v>
      </c>
      <c r="F217">
        <f>wyniki!$A$252</f>
        <v>0</v>
      </c>
      <c r="J217" s="93">
        <f t="shared" si="13"/>
        <v>0</v>
      </c>
      <c r="K217" s="77">
        <f>LARGE($E$2:$E$241,216)</f>
        <v>9.7000000000000005E-4</v>
      </c>
      <c r="L217" s="67">
        <f t="shared" si="14"/>
        <v>97</v>
      </c>
      <c r="M217" s="85">
        <f t="shared" si="15"/>
        <v>0</v>
      </c>
      <c r="N217" s="39">
        <v>216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7.25" thickTop="1" thickBot="1">
      <c r="B218">
        <f>wyniki!B260</f>
        <v>0</v>
      </c>
      <c r="C218" s="19">
        <f>wyniki!I260</f>
        <v>0</v>
      </c>
      <c r="D218" s="18">
        <v>2.1700000000000001E-3</v>
      </c>
      <c r="E218" s="19">
        <f t="shared" si="12"/>
        <v>2.1700000000000001E-3</v>
      </c>
      <c r="F218">
        <f>wyniki!$A$259</f>
        <v>0</v>
      </c>
      <c r="J218" s="93">
        <f t="shared" si="13"/>
        <v>0</v>
      </c>
      <c r="K218" s="77">
        <f>LARGE($E$2:$E$241,217)</f>
        <v>9.6000000000000002E-4</v>
      </c>
      <c r="L218" s="67">
        <f t="shared" si="14"/>
        <v>96</v>
      </c>
      <c r="M218" s="85">
        <f t="shared" si="15"/>
        <v>0</v>
      </c>
      <c r="N218" s="39">
        <v>217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7.25" thickTop="1" thickBot="1">
      <c r="B219">
        <f>wyniki!B261</f>
        <v>0</v>
      </c>
      <c r="C219" s="19">
        <f>wyniki!I261</f>
        <v>0</v>
      </c>
      <c r="D219" s="18">
        <v>2.1800000000000001E-3</v>
      </c>
      <c r="E219" s="19">
        <f t="shared" si="12"/>
        <v>2.1800000000000001E-3</v>
      </c>
      <c r="F219">
        <f>wyniki!$A$259</f>
        <v>0</v>
      </c>
      <c r="J219" s="93">
        <f t="shared" si="13"/>
        <v>0</v>
      </c>
      <c r="K219" s="77">
        <f>LARGE($E$2:$E$241,218)</f>
        <v>9.5E-4</v>
      </c>
      <c r="L219" s="67">
        <f t="shared" si="14"/>
        <v>95</v>
      </c>
      <c r="M219" s="85">
        <f t="shared" si="15"/>
        <v>0</v>
      </c>
      <c r="N219" s="39">
        <v>218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7.25" thickTop="1" thickBot="1">
      <c r="B220">
        <f>wyniki!B262</f>
        <v>0</v>
      </c>
      <c r="C220" s="19">
        <f>wyniki!I262</f>
        <v>0</v>
      </c>
      <c r="D220" s="18">
        <v>2.1900000000000001E-3</v>
      </c>
      <c r="E220" s="19">
        <f t="shared" si="12"/>
        <v>2.1900000000000001E-3</v>
      </c>
      <c r="F220">
        <f>wyniki!$A$259</f>
        <v>0</v>
      </c>
      <c r="J220" s="93">
        <f t="shared" si="13"/>
        <v>0</v>
      </c>
      <c r="K220" s="77">
        <f>LARGE($E$2:$E$241,219)</f>
        <v>9.3999999999999997E-4</v>
      </c>
      <c r="L220" s="67">
        <f t="shared" si="14"/>
        <v>94</v>
      </c>
      <c r="M220" s="85">
        <f t="shared" si="15"/>
        <v>0</v>
      </c>
      <c r="N220" s="39">
        <v>219</v>
      </c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7.25" thickTop="1" thickBot="1">
      <c r="B221">
        <f>wyniki!B263</f>
        <v>0</v>
      </c>
      <c r="C221" s="19">
        <f>wyniki!I263</f>
        <v>0</v>
      </c>
      <c r="D221" s="18">
        <v>2.2000000000000001E-3</v>
      </c>
      <c r="E221" s="19">
        <f t="shared" si="12"/>
        <v>2.2000000000000001E-3</v>
      </c>
      <c r="F221">
        <f>wyniki!$A$259</f>
        <v>0</v>
      </c>
      <c r="J221" s="93">
        <f t="shared" si="13"/>
        <v>0</v>
      </c>
      <c r="K221" s="77">
        <f>LARGE($E$2:$E$241,220)</f>
        <v>9.3000000000000005E-4</v>
      </c>
      <c r="L221" s="67">
        <f t="shared" si="14"/>
        <v>93</v>
      </c>
      <c r="M221" s="85">
        <f t="shared" si="15"/>
        <v>0</v>
      </c>
      <c r="N221" s="39">
        <v>220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7.25" thickTop="1" thickBot="1">
      <c r="B222">
        <f>wyniki!B264</f>
        <v>0</v>
      </c>
      <c r="C222" s="19">
        <f>wyniki!I264</f>
        <v>0</v>
      </c>
      <c r="D222" s="18">
        <v>2.2100000000000002E-3</v>
      </c>
      <c r="E222" s="19">
        <f t="shared" si="12"/>
        <v>2.2100000000000002E-3</v>
      </c>
      <c r="F222">
        <f>wyniki!$A$259</f>
        <v>0</v>
      </c>
      <c r="J222" s="93">
        <f t="shared" si="13"/>
        <v>0</v>
      </c>
      <c r="K222" s="77">
        <f>LARGE($E$2:$E$241,221)</f>
        <v>9.2000000000000003E-4</v>
      </c>
      <c r="L222" s="67">
        <f t="shared" si="14"/>
        <v>92</v>
      </c>
      <c r="M222" s="85">
        <f t="shared" si="15"/>
        <v>0</v>
      </c>
      <c r="N222" s="39">
        <v>221</v>
      </c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7.25" thickTop="1" thickBot="1">
      <c r="B223">
        <f>wyniki!B265</f>
        <v>0</v>
      </c>
      <c r="C223" s="19">
        <f>wyniki!I265</f>
        <v>0</v>
      </c>
      <c r="D223" s="18">
        <v>2.2200000000000002E-3</v>
      </c>
      <c r="E223" s="19">
        <f t="shared" si="12"/>
        <v>2.2200000000000002E-3</v>
      </c>
      <c r="F223">
        <f>wyniki!$A$259</f>
        <v>0</v>
      </c>
      <c r="J223" s="93">
        <f t="shared" si="13"/>
        <v>0</v>
      </c>
      <c r="K223" s="77">
        <f>LARGE($E$2:$E$241,222)</f>
        <v>9.1E-4</v>
      </c>
      <c r="L223" s="67">
        <f t="shared" si="14"/>
        <v>91</v>
      </c>
      <c r="M223" s="85">
        <f t="shared" si="15"/>
        <v>0</v>
      </c>
      <c r="N223" s="39">
        <v>222</v>
      </c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7.25" thickTop="1" thickBot="1">
      <c r="B224">
        <f>wyniki!B267</f>
        <v>0</v>
      </c>
      <c r="C224" s="19">
        <f>wyniki!I267</f>
        <v>0</v>
      </c>
      <c r="D224" s="18">
        <v>2.2300000000000002E-3</v>
      </c>
      <c r="E224" s="19">
        <f t="shared" si="12"/>
        <v>2.2300000000000002E-3</v>
      </c>
      <c r="F224">
        <f>wyniki!$A$266</f>
        <v>0</v>
      </c>
      <c r="J224" s="93">
        <f t="shared" si="13"/>
        <v>0</v>
      </c>
      <c r="K224" s="77">
        <f>LARGE($E$2:$E$241,223)</f>
        <v>8.9999999999999998E-4</v>
      </c>
      <c r="L224" s="67">
        <f t="shared" si="14"/>
        <v>90</v>
      </c>
      <c r="M224" s="85">
        <f t="shared" si="15"/>
        <v>0</v>
      </c>
      <c r="N224" s="39">
        <v>223</v>
      </c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7.25" thickTop="1" thickBot="1">
      <c r="B225">
        <f>wyniki!B268</f>
        <v>0</v>
      </c>
      <c r="C225" s="19">
        <f>wyniki!I268</f>
        <v>0</v>
      </c>
      <c r="D225" s="18">
        <v>2.2399999999999998E-3</v>
      </c>
      <c r="E225" s="19">
        <f t="shared" si="12"/>
        <v>2.2399999999999998E-3</v>
      </c>
      <c r="F225">
        <f>wyniki!$A$266</f>
        <v>0</v>
      </c>
      <c r="J225" s="93">
        <f t="shared" si="13"/>
        <v>0</v>
      </c>
      <c r="K225" s="77">
        <f>LARGE($E$2:$E$241,224)</f>
        <v>8.8999999999999995E-4</v>
      </c>
      <c r="L225" s="67">
        <f t="shared" si="14"/>
        <v>89</v>
      </c>
      <c r="M225" s="85">
        <f t="shared" si="15"/>
        <v>0</v>
      </c>
      <c r="N225" s="39">
        <v>224</v>
      </c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7.25" thickTop="1" thickBot="1">
      <c r="B226">
        <f>wyniki!B269</f>
        <v>0</v>
      </c>
      <c r="C226" s="19">
        <f>wyniki!I269</f>
        <v>0</v>
      </c>
      <c r="D226" s="18">
        <v>2.2499999999999998E-3</v>
      </c>
      <c r="E226" s="19">
        <f t="shared" si="12"/>
        <v>2.2499999999999998E-3</v>
      </c>
      <c r="F226">
        <f>wyniki!$A$266</f>
        <v>0</v>
      </c>
      <c r="J226" s="93">
        <f t="shared" si="13"/>
        <v>0</v>
      </c>
      <c r="K226" s="77">
        <f>LARGE($E$2:$E$241,225)</f>
        <v>8.8000000000000003E-4</v>
      </c>
      <c r="L226" s="67">
        <f t="shared" si="14"/>
        <v>88</v>
      </c>
      <c r="M226" s="85">
        <f t="shared" si="15"/>
        <v>0</v>
      </c>
      <c r="N226" s="39">
        <v>225</v>
      </c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7.25" thickTop="1" thickBot="1">
      <c r="B227">
        <f>wyniki!B270</f>
        <v>0</v>
      </c>
      <c r="C227" s="19">
        <f>wyniki!I270</f>
        <v>0</v>
      </c>
      <c r="D227" s="18">
        <v>2.2599999999999999E-3</v>
      </c>
      <c r="E227" s="19">
        <f t="shared" si="12"/>
        <v>2.2599999999999999E-3</v>
      </c>
      <c r="F227">
        <f>wyniki!$A$266</f>
        <v>0</v>
      </c>
      <c r="J227" s="93">
        <f t="shared" si="13"/>
        <v>0</v>
      </c>
      <c r="K227" s="77">
        <f>LARGE($E$2:$E$241,226)</f>
        <v>8.7000000000000001E-4</v>
      </c>
      <c r="L227" s="67">
        <f t="shared" si="14"/>
        <v>87</v>
      </c>
      <c r="M227" s="85">
        <f t="shared" si="15"/>
        <v>0</v>
      </c>
      <c r="N227" s="39">
        <v>226</v>
      </c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7.25" thickTop="1" thickBot="1">
      <c r="B228">
        <f>wyniki!B271</f>
        <v>0</v>
      </c>
      <c r="C228" s="19">
        <f>wyniki!I271</f>
        <v>0</v>
      </c>
      <c r="D228" s="18">
        <v>2.2699999999999999E-3</v>
      </c>
      <c r="E228" s="19">
        <f t="shared" si="12"/>
        <v>2.2699999999999999E-3</v>
      </c>
      <c r="F228">
        <f>wyniki!$A$266</f>
        <v>0</v>
      </c>
      <c r="J228" s="93">
        <f t="shared" si="13"/>
        <v>0</v>
      </c>
      <c r="K228" s="77">
        <f>LARGE($E$2:$E$241,227)</f>
        <v>8.5999999999999998E-4</v>
      </c>
      <c r="L228" s="67">
        <f t="shared" si="14"/>
        <v>86</v>
      </c>
      <c r="M228" s="85">
        <f t="shared" si="15"/>
        <v>0</v>
      </c>
      <c r="N228" s="39">
        <v>227</v>
      </c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7.25" thickTop="1" thickBot="1">
      <c r="B229">
        <f>wyniki!B272</f>
        <v>0</v>
      </c>
      <c r="C229" s="19">
        <f>wyniki!I272</f>
        <v>0</v>
      </c>
      <c r="D229" s="18">
        <v>2.2799999999999999E-3</v>
      </c>
      <c r="E229" s="19">
        <f t="shared" si="12"/>
        <v>2.2799999999999999E-3</v>
      </c>
      <c r="F229">
        <f>wyniki!$A$266</f>
        <v>0</v>
      </c>
      <c r="J229" s="93">
        <f t="shared" si="13"/>
        <v>0</v>
      </c>
      <c r="K229" s="77">
        <f>LARGE($E$2:$E$241,228)</f>
        <v>8.4999999999999995E-4</v>
      </c>
      <c r="L229" s="67">
        <f t="shared" si="14"/>
        <v>85</v>
      </c>
      <c r="M229" s="85">
        <f t="shared" si="15"/>
        <v>0</v>
      </c>
      <c r="N229" s="39">
        <v>228</v>
      </c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7.25" thickTop="1" thickBot="1">
      <c r="B230">
        <f>wyniki!B274</f>
        <v>0</v>
      </c>
      <c r="C230" s="19">
        <f>wyniki!I274</f>
        <v>0</v>
      </c>
      <c r="D230" s="18">
        <v>2.2899999999999999E-3</v>
      </c>
      <c r="E230" s="19">
        <f t="shared" si="12"/>
        <v>2.2899999999999999E-3</v>
      </c>
      <c r="F230">
        <f>wyniki!$A$273</f>
        <v>0</v>
      </c>
      <c r="J230" s="93">
        <f t="shared" si="13"/>
        <v>0</v>
      </c>
      <c r="K230" s="77">
        <f>LARGE($E$2:$E$241,229)</f>
        <v>8.4000000000000003E-4</v>
      </c>
      <c r="L230" s="67">
        <f t="shared" si="14"/>
        <v>84</v>
      </c>
      <c r="M230" s="85">
        <f t="shared" si="15"/>
        <v>0</v>
      </c>
      <c r="N230" s="39">
        <v>229</v>
      </c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7.25" thickTop="1" thickBot="1">
      <c r="B231">
        <f>wyniki!B275</f>
        <v>0</v>
      </c>
      <c r="C231" s="19">
        <f>wyniki!I275</f>
        <v>0</v>
      </c>
      <c r="D231" s="18">
        <v>2.3E-3</v>
      </c>
      <c r="E231" s="19">
        <f t="shared" si="12"/>
        <v>2.3E-3</v>
      </c>
      <c r="F231">
        <f>wyniki!$A$273</f>
        <v>0</v>
      </c>
      <c r="J231" s="93">
        <f t="shared" si="13"/>
        <v>0</v>
      </c>
      <c r="K231" s="77">
        <f>LARGE($E$2:$E$241,230)</f>
        <v>8.3000000000000001E-4</v>
      </c>
      <c r="L231" s="67">
        <f t="shared" si="14"/>
        <v>83</v>
      </c>
      <c r="M231" s="85">
        <f t="shared" si="15"/>
        <v>0</v>
      </c>
      <c r="N231" s="39">
        <v>230</v>
      </c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7.25" thickTop="1" thickBot="1">
      <c r="B232">
        <f>wyniki!B276</f>
        <v>0</v>
      </c>
      <c r="C232" s="19">
        <f>wyniki!I276</f>
        <v>0</v>
      </c>
      <c r="D232" s="18">
        <v>2.31E-3</v>
      </c>
      <c r="E232" s="19">
        <f t="shared" si="12"/>
        <v>2.31E-3</v>
      </c>
      <c r="F232">
        <f>wyniki!$A$273</f>
        <v>0</v>
      </c>
      <c r="J232" s="93">
        <f t="shared" si="13"/>
        <v>0</v>
      </c>
      <c r="K232" s="77">
        <f>LARGE($E$2:$E$241,231)</f>
        <v>8.1999999999999998E-4</v>
      </c>
      <c r="L232" s="67">
        <f t="shared" si="14"/>
        <v>82</v>
      </c>
      <c r="M232" s="85">
        <f t="shared" si="15"/>
        <v>0</v>
      </c>
      <c r="N232" s="39">
        <v>231</v>
      </c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7.25" thickTop="1" thickBot="1">
      <c r="B233">
        <f>wyniki!B277</f>
        <v>0</v>
      </c>
      <c r="C233" s="19">
        <f>wyniki!I277</f>
        <v>0</v>
      </c>
      <c r="D233" s="18">
        <v>2.32E-3</v>
      </c>
      <c r="E233" s="19">
        <f t="shared" si="12"/>
        <v>2.32E-3</v>
      </c>
      <c r="F233">
        <f>wyniki!$A$273</f>
        <v>0</v>
      </c>
      <c r="J233" s="93">
        <f t="shared" si="13"/>
        <v>0</v>
      </c>
      <c r="K233" s="77">
        <f>LARGE($E$2:$E$241,232)</f>
        <v>8.0999999999999996E-4</v>
      </c>
      <c r="L233" s="67">
        <f t="shared" si="14"/>
        <v>81</v>
      </c>
      <c r="M233" s="85">
        <f t="shared" si="15"/>
        <v>0</v>
      </c>
      <c r="N233" s="39">
        <v>232</v>
      </c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7.25" thickTop="1" thickBot="1">
      <c r="B234">
        <f>wyniki!B278</f>
        <v>0</v>
      </c>
      <c r="C234" s="19">
        <f>wyniki!I278</f>
        <v>0</v>
      </c>
      <c r="D234" s="18">
        <v>2.33E-3</v>
      </c>
      <c r="E234" s="19">
        <f t="shared" si="12"/>
        <v>2.33E-3</v>
      </c>
      <c r="F234">
        <f>wyniki!$A$273</f>
        <v>0</v>
      </c>
      <c r="J234" s="93">
        <f t="shared" si="13"/>
        <v>0</v>
      </c>
      <c r="K234" s="77">
        <f>LARGE($E$2:$E$241,233)</f>
        <v>8.0000000000000004E-4</v>
      </c>
      <c r="L234" s="67">
        <f t="shared" si="14"/>
        <v>80</v>
      </c>
      <c r="M234" s="85">
        <f t="shared" si="15"/>
        <v>0</v>
      </c>
      <c r="N234" s="39">
        <v>233</v>
      </c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7.25" thickTop="1" thickBot="1">
      <c r="B235">
        <f>wyniki!B279</f>
        <v>0</v>
      </c>
      <c r="C235" s="19">
        <f>wyniki!I279</f>
        <v>0</v>
      </c>
      <c r="D235" s="18">
        <v>2.3400000000000001E-3</v>
      </c>
      <c r="E235" s="19">
        <f t="shared" si="12"/>
        <v>2.3400000000000001E-3</v>
      </c>
      <c r="F235">
        <f>wyniki!$A$273</f>
        <v>0</v>
      </c>
      <c r="J235" s="93">
        <f t="shared" si="13"/>
        <v>0</v>
      </c>
      <c r="K235" s="77">
        <f>LARGE($E$2:$E$241,234)</f>
        <v>7.9000000000000001E-4</v>
      </c>
      <c r="L235" s="67">
        <f t="shared" si="14"/>
        <v>79</v>
      </c>
      <c r="M235" s="85">
        <f t="shared" si="15"/>
        <v>0</v>
      </c>
      <c r="N235" s="39">
        <v>234</v>
      </c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7.25" thickTop="1" thickBot="1">
      <c r="B236">
        <f>wyniki!B281</f>
        <v>0</v>
      </c>
      <c r="C236" s="19">
        <f>wyniki!I281</f>
        <v>0</v>
      </c>
      <c r="D236" s="18">
        <v>2.3500000000000001E-3</v>
      </c>
      <c r="E236" s="19">
        <f t="shared" si="12"/>
        <v>2.3500000000000001E-3</v>
      </c>
      <c r="F236">
        <f>wyniki!$A$280</f>
        <v>0</v>
      </c>
      <c r="J236" s="93">
        <f t="shared" si="13"/>
        <v>0</v>
      </c>
      <c r="K236" s="77">
        <f>LARGE($E$2:$E$241,235)</f>
        <v>7.7999999999999999E-4</v>
      </c>
      <c r="L236" s="67">
        <f t="shared" si="14"/>
        <v>78</v>
      </c>
      <c r="M236" s="85">
        <f t="shared" si="15"/>
        <v>0</v>
      </c>
      <c r="N236" s="39">
        <v>235</v>
      </c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7.25" thickTop="1" thickBot="1">
      <c r="B237">
        <f>wyniki!B282</f>
        <v>0</v>
      </c>
      <c r="C237" s="19">
        <f>wyniki!I282</f>
        <v>0</v>
      </c>
      <c r="D237" s="18">
        <v>2.3600000000000001E-3</v>
      </c>
      <c r="E237" s="19">
        <f t="shared" si="12"/>
        <v>2.3600000000000001E-3</v>
      </c>
      <c r="F237">
        <f>wyniki!$A$280</f>
        <v>0</v>
      </c>
      <c r="J237" s="93">
        <f t="shared" si="13"/>
        <v>0</v>
      </c>
      <c r="K237" s="77">
        <f>LARGE($E$2:$E$241,236)</f>
        <v>7.6999999999999996E-4</v>
      </c>
      <c r="L237" s="67">
        <f t="shared" si="14"/>
        <v>77</v>
      </c>
      <c r="M237" s="85">
        <f t="shared" si="15"/>
        <v>0</v>
      </c>
      <c r="N237" s="39">
        <v>236</v>
      </c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7.25" thickTop="1" thickBot="1">
      <c r="B238">
        <f>wyniki!B283</f>
        <v>0</v>
      </c>
      <c r="C238" s="19">
        <f>wyniki!I283</f>
        <v>0</v>
      </c>
      <c r="D238" s="18">
        <v>2.3700000000000001E-3</v>
      </c>
      <c r="E238" s="19">
        <f t="shared" si="12"/>
        <v>2.3700000000000001E-3</v>
      </c>
      <c r="F238">
        <f>wyniki!$A$280</f>
        <v>0</v>
      </c>
      <c r="J238" s="93">
        <f t="shared" si="13"/>
        <v>0</v>
      </c>
      <c r="K238" s="77">
        <f>LARGE($E$2:$E$241,237)</f>
        <v>7.6000000000000004E-4</v>
      </c>
      <c r="L238" s="67">
        <f t="shared" si="14"/>
        <v>76</v>
      </c>
      <c r="M238" s="85">
        <f t="shared" si="15"/>
        <v>0</v>
      </c>
      <c r="N238" s="39">
        <v>237</v>
      </c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7.25" thickTop="1" thickBot="1">
      <c r="B239">
        <f>wyniki!B284</f>
        <v>0</v>
      </c>
      <c r="C239" s="19">
        <f>wyniki!I284</f>
        <v>0</v>
      </c>
      <c r="D239" s="18">
        <v>2.3800000000000002E-3</v>
      </c>
      <c r="E239" s="19">
        <f t="shared" si="12"/>
        <v>2.3800000000000002E-3</v>
      </c>
      <c r="F239">
        <f>wyniki!$A$280</f>
        <v>0</v>
      </c>
      <c r="J239" s="93">
        <f t="shared" si="13"/>
        <v>0</v>
      </c>
      <c r="K239" s="77">
        <f>LARGE($E$2:$E$241,238)</f>
        <v>7.5000000000000002E-4</v>
      </c>
      <c r="L239" s="67">
        <f t="shared" si="14"/>
        <v>75</v>
      </c>
      <c r="M239" s="85">
        <f t="shared" si="15"/>
        <v>0</v>
      </c>
      <c r="N239" s="39">
        <v>238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7.25" thickTop="1" thickBot="1">
      <c r="B240">
        <f>wyniki!B285</f>
        <v>0</v>
      </c>
      <c r="C240" s="19">
        <f>wyniki!I285</f>
        <v>0</v>
      </c>
      <c r="D240" s="18">
        <v>2.3900000000000002E-3</v>
      </c>
      <c r="E240" s="19">
        <f t="shared" si="12"/>
        <v>2.3900000000000002E-3</v>
      </c>
      <c r="F240">
        <f>wyniki!$A$280</f>
        <v>0</v>
      </c>
      <c r="J240" s="93">
        <f t="shared" si="13"/>
        <v>0</v>
      </c>
      <c r="K240" s="77">
        <f>LARGE($E$2:$E$241,239)</f>
        <v>7.3999999999999999E-4</v>
      </c>
      <c r="L240" s="67">
        <f t="shared" si="14"/>
        <v>74</v>
      </c>
      <c r="M240" s="85">
        <f t="shared" si="15"/>
        <v>0</v>
      </c>
      <c r="N240" s="39">
        <v>239</v>
      </c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42" ht="17.25" thickTop="1" thickBot="1">
      <c r="B241">
        <f>wyniki!B286</f>
        <v>0</v>
      </c>
      <c r="C241" s="19">
        <f>wyniki!I286</f>
        <v>0</v>
      </c>
      <c r="D241" s="18">
        <v>2.3999999999999998E-3</v>
      </c>
      <c r="E241" s="19">
        <f t="shared" si="12"/>
        <v>2.3999999999999998E-3</v>
      </c>
      <c r="F241">
        <f>wyniki!$A$280</f>
        <v>0</v>
      </c>
      <c r="J241" s="93">
        <f t="shared" si="13"/>
        <v>0</v>
      </c>
      <c r="K241" s="77">
        <f>LARGE($E$2:$E$241,240)</f>
        <v>7.2999999999999996E-4</v>
      </c>
      <c r="L241" s="67">
        <f t="shared" si="14"/>
        <v>73</v>
      </c>
      <c r="M241" s="85">
        <f t="shared" si="15"/>
        <v>0</v>
      </c>
      <c r="N241" s="39">
        <v>240</v>
      </c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42" ht="13.5" thickTop="1"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</row>
    <row r="243" spans="2:42"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</row>
    <row r="244" spans="2:42"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</row>
    <row r="245" spans="2:42"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</row>
    <row r="246" spans="2:42"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</row>
    <row r="247" spans="2:42"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</row>
    <row r="248" spans="2:42"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</row>
    <row r="249" spans="2:42"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</row>
    <row r="250" spans="2:42"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</row>
    <row r="251" spans="2:42"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</row>
    <row r="252" spans="2:42"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</row>
    <row r="253" spans="2:42"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</row>
    <row r="254" spans="2:42"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</row>
    <row r="255" spans="2:42"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</row>
    <row r="256" spans="2:42"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</row>
    <row r="257" spans="15:42"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</row>
    <row r="258" spans="15:42"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</row>
    <row r="259" spans="15:42"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</row>
    <row r="260" spans="15:42"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</row>
    <row r="261" spans="15:42"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</row>
    <row r="262" spans="15:42"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</row>
    <row r="263" spans="15:42"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</row>
    <row r="264" spans="15:42"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</row>
    <row r="265" spans="15:42"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</row>
    <row r="266" spans="15:42"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</row>
    <row r="267" spans="15:42"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</row>
    <row r="268" spans="15:42"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</row>
    <row r="269" spans="15:42"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</row>
    <row r="270" spans="15:42"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</row>
    <row r="271" spans="15:42"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</row>
    <row r="272" spans="15:42"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</row>
    <row r="273" spans="15:42"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</row>
    <row r="274" spans="15:42"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</row>
    <row r="275" spans="15:42"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</row>
    <row r="276" spans="15:42"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</row>
    <row r="277" spans="15:42"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</row>
    <row r="278" spans="15:42"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</row>
    <row r="279" spans="15:42"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</row>
    <row r="280" spans="15:42"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</row>
    <row r="281" spans="15:42"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</row>
    <row r="282" spans="15:42"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</row>
    <row r="283" spans="15:42"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</row>
    <row r="284" spans="15:42"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</row>
    <row r="285" spans="15:42"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</row>
    <row r="286" spans="15:42"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</row>
    <row r="287" spans="15:42"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</row>
    <row r="288" spans="15:42"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</row>
    <row r="289" spans="15:42"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</row>
    <row r="290" spans="15:42"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</row>
    <row r="291" spans="15:42"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</row>
    <row r="292" spans="15:42"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</row>
    <row r="293" spans="15:42"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</row>
    <row r="294" spans="15:42"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</row>
    <row r="295" spans="15:42"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</row>
    <row r="296" spans="15:42"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</row>
    <row r="297" spans="15:42"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</row>
    <row r="298" spans="15:42"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</row>
    <row r="299" spans="15:42"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</row>
    <row r="300" spans="15:42"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</row>
    <row r="301" spans="15:42"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</row>
    <row r="302" spans="15:42"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</row>
    <row r="303" spans="15:42"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</row>
    <row r="304" spans="15:42"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</row>
    <row r="305" spans="15:42"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</row>
    <row r="306" spans="15:42"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</row>
    <row r="307" spans="15:42"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</row>
    <row r="308" spans="15:42"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</row>
    <row r="309" spans="15:42"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</row>
    <row r="310" spans="15:42"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</row>
    <row r="311" spans="15:42"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</row>
    <row r="312" spans="15:42"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</row>
    <row r="313" spans="15:42"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</row>
    <row r="314" spans="15:42"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</row>
    <row r="315" spans="15:42"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</row>
    <row r="316" spans="15:42"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</row>
    <row r="317" spans="15:42"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</row>
    <row r="318" spans="15:42"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</row>
    <row r="319" spans="15:42"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</row>
    <row r="320" spans="15:42"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</row>
    <row r="321" spans="15:42"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</row>
    <row r="322" spans="15:42"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</row>
    <row r="323" spans="15:42"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</row>
    <row r="324" spans="15:42"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</row>
    <row r="325" spans="15:42"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</row>
    <row r="326" spans="15:42"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</row>
    <row r="327" spans="15:42"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</row>
    <row r="328" spans="15:42"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</row>
    <row r="329" spans="15:42"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</row>
    <row r="330" spans="15:42"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</row>
    <row r="331" spans="15:42"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</row>
    <row r="332" spans="15:42"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</row>
    <row r="333" spans="15:42"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</row>
    <row r="334" spans="15:42"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</row>
    <row r="335" spans="15:42"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</row>
    <row r="336" spans="15:42"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</row>
    <row r="337" spans="15:42"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</row>
    <row r="338" spans="15:42"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</row>
    <row r="339" spans="15:42"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</row>
    <row r="340" spans="15:42"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</row>
    <row r="341" spans="15:42"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</row>
    <row r="342" spans="15:42"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</row>
    <row r="343" spans="15:42"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</row>
    <row r="344" spans="15:42"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</row>
    <row r="345" spans="15:42"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</row>
    <row r="346" spans="15:42"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</row>
    <row r="347" spans="15:42"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</row>
    <row r="348" spans="15:42"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</row>
    <row r="349" spans="15:42"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</row>
    <row r="350" spans="15:42"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</row>
    <row r="351" spans="15:42"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</row>
    <row r="352" spans="15:42"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</row>
    <row r="353" spans="15:42"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</row>
    <row r="354" spans="15:42"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</row>
    <row r="355" spans="15:42"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</row>
    <row r="356" spans="15:42"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</row>
    <row r="357" spans="15:42"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</row>
    <row r="358" spans="15:42"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</row>
    <row r="359" spans="15:42"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</row>
    <row r="360" spans="15:42"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</row>
    <row r="361" spans="15:42"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</row>
    <row r="362" spans="15:42"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</row>
    <row r="363" spans="15:42"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</row>
    <row r="364" spans="15:42"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</row>
    <row r="365" spans="15:42"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</row>
    <row r="366" spans="15:42"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</row>
    <row r="367" spans="15:42"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</row>
    <row r="368" spans="15:42"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</row>
    <row r="369" spans="15:42"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</row>
    <row r="370" spans="15:42"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</row>
    <row r="371" spans="15:42"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</row>
    <row r="372" spans="15:42"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</row>
    <row r="373" spans="15:42"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</row>
    <row r="374" spans="15:42"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</row>
    <row r="375" spans="15:42"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</row>
    <row r="376" spans="15:42"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</row>
    <row r="377" spans="15:42"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</row>
    <row r="378" spans="15:42"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</row>
    <row r="379" spans="15:42"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</row>
    <row r="380" spans="15:42"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</row>
    <row r="381" spans="15:42"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</row>
    <row r="382" spans="15:42"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</row>
    <row r="383" spans="15:42"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</row>
    <row r="384" spans="15:42"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</row>
    <row r="385" spans="15:42"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</row>
    <row r="386" spans="15:42"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</row>
  </sheetData>
  <autoFilter ref="J1:N1"/>
  <phoneticPr fontId="3" type="noConversion"/>
  <pageMargins left="0.75" right="0.75" top="1" bottom="1" header="0.5" footer="0.5"/>
  <pageSetup paperSize="9" scale="79" orientation="portrait" horizontalDpi="4294967294" r:id="rId1"/>
  <headerFooter alignWithMargins="0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B1:AE365"/>
  <sheetViews>
    <sheetView showGridLines="0" view="pageBreakPreview" zoomScaleNormal="100" workbookViewId="0">
      <selection activeCell="J1" sqref="J1:N1"/>
    </sheetView>
  </sheetViews>
  <sheetFormatPr defaultRowHeight="12.75"/>
  <cols>
    <col min="2" max="2" width="19.140625" hidden="1" customWidth="1"/>
    <col min="3" max="7" width="0" hidden="1" customWidth="1"/>
    <col min="9" max="9" width="16.28515625" customWidth="1"/>
    <col min="10" max="10" width="30.85546875" style="87" customWidth="1"/>
    <col min="11" max="11" width="12.28515625" style="79" bestFit="1" customWidth="1"/>
    <col min="12" max="12" width="11.140625" hidden="1" customWidth="1"/>
    <col min="13" max="13" width="27.28515625" style="87" customWidth="1"/>
    <col min="14" max="14" width="11.5703125" style="76" bestFit="1" customWidth="1"/>
  </cols>
  <sheetData>
    <row r="1" spans="2:31" ht="19.5" thickTop="1" thickBot="1">
      <c r="C1" s="19"/>
      <c r="D1" s="18"/>
      <c r="E1" s="19"/>
      <c r="J1" s="95" t="s">
        <v>1719</v>
      </c>
      <c r="K1" s="68" t="s">
        <v>1720</v>
      </c>
      <c r="L1" s="66"/>
      <c r="M1" s="95" t="s">
        <v>1721</v>
      </c>
      <c r="N1" s="66" t="s">
        <v>1722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2:31" ht="17.25" thickTop="1" thickBot="1">
      <c r="B2" t="str">
        <f>wyniki!B8</f>
        <v>Anielska Aleksandra</v>
      </c>
      <c r="C2" s="19">
        <f>wyniki!K8</f>
        <v>214.06</v>
      </c>
      <c r="D2" s="18">
        <v>-1.0000000000000001E-5</v>
      </c>
      <c r="E2" s="19">
        <f>IF(C2&gt;1,G2+D2)</f>
        <v>-214.06001000000001</v>
      </c>
      <c r="F2" t="str">
        <f>wyniki!$A$7</f>
        <v>SP14 Warszawa</v>
      </c>
      <c r="G2" s="19">
        <f>-C2</f>
        <v>-214.06</v>
      </c>
      <c r="J2" s="93" t="str">
        <f>INDEX($B$2:$E$241,L2,1)</f>
        <v>Paradukha Viktoria</v>
      </c>
      <c r="K2" s="80">
        <f>-LARGE($E$2:$E$241,1)</f>
        <v>148.56022000000002</v>
      </c>
      <c r="L2" s="67">
        <f>MATCH(-K2,$E$2:$E$241,0)</f>
        <v>22</v>
      </c>
      <c r="M2" s="85" t="str">
        <f>INDEX($E$2:$F$241,L2,2)</f>
        <v>SP2 Ostrów Maz.</v>
      </c>
      <c r="N2" s="39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31" ht="17.25" thickTop="1" thickBot="1">
      <c r="B3" t="str">
        <f>wyniki!B9</f>
        <v>Dłużewska Julia</v>
      </c>
      <c r="C3" s="19">
        <f>wyniki!K9</f>
        <v>205.1</v>
      </c>
      <c r="D3" s="18">
        <v>-2.0000000000000002E-5</v>
      </c>
      <c r="E3" s="19">
        <f t="shared" ref="E3:E66" si="0">IF(C3&gt;1,G3+D3)</f>
        <v>-205.10002</v>
      </c>
      <c r="F3" t="str">
        <f>wyniki!$A$7</f>
        <v>SP14 Warszawa</v>
      </c>
      <c r="G3" s="19">
        <f t="shared" ref="G3:G66" si="1">-C3</f>
        <v>-205.1</v>
      </c>
      <c r="J3" s="93" t="str">
        <f t="shared" ref="J3:J66" si="2">INDEX($B$2:$E$241,L3,1)</f>
        <v>Borys Paulina</v>
      </c>
      <c r="K3" s="80">
        <f>-LARGE($E$2:$E$241,2)</f>
        <v>149.48031</v>
      </c>
      <c r="L3" s="67">
        <f>MATCH(-K3,$E$2:$E$241,0)</f>
        <v>31</v>
      </c>
      <c r="M3" s="85" t="str">
        <f t="shared" ref="M3:M66" si="3">INDEX($E$2:$F$241,L3,2)</f>
        <v>SP Bieniewice</v>
      </c>
      <c r="N3" s="39">
        <v>2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2:31" ht="17.25" thickTop="1" thickBot="1">
      <c r="B4" t="str">
        <f>wyniki!B10</f>
        <v>Glegoła Paulia</v>
      </c>
      <c r="C4" s="19">
        <f>wyniki!K10</f>
        <v>226.06</v>
      </c>
      <c r="D4" s="18">
        <v>-3.0000000000000001E-5</v>
      </c>
      <c r="E4" s="19">
        <f t="shared" si="0"/>
        <v>-226.06003000000001</v>
      </c>
      <c r="F4" t="str">
        <f>wyniki!$A$7</f>
        <v>SP14 Warszawa</v>
      </c>
      <c r="G4" s="19">
        <f t="shared" si="1"/>
        <v>-226.06</v>
      </c>
      <c r="J4" s="93" t="str">
        <f t="shared" si="2"/>
        <v>Wąsożnik Zofia</v>
      </c>
      <c r="K4" s="80">
        <f>-LARGE($E$2:$E$241,3)</f>
        <v>150.34040000000002</v>
      </c>
      <c r="L4" s="67">
        <f t="shared" ref="L4:L67" si="4">MATCH(-K4,$E$2:$E$241,0)</f>
        <v>40</v>
      </c>
      <c r="M4" s="85" t="str">
        <f t="shared" si="3"/>
        <v>SP2 Węgrów</v>
      </c>
      <c r="N4" s="39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7.25" thickTop="1" thickBot="1">
      <c r="B5" t="str">
        <f>wyniki!B11</f>
        <v>Pietruszka Aleksandra</v>
      </c>
      <c r="C5" s="19">
        <f>wyniki!K11</f>
        <v>208.09</v>
      </c>
      <c r="D5" s="18">
        <v>-4.0000000000000003E-5</v>
      </c>
      <c r="E5" s="19">
        <f t="shared" si="0"/>
        <v>-208.09004000000002</v>
      </c>
      <c r="F5" t="str">
        <f>wyniki!$A$7</f>
        <v>SP14 Warszawa</v>
      </c>
      <c r="G5" s="19">
        <f t="shared" si="1"/>
        <v>-208.09</v>
      </c>
      <c r="J5" s="93" t="str">
        <f t="shared" si="2"/>
        <v>Tłoczkowska Marta</v>
      </c>
      <c r="K5" s="80">
        <f>-LARGE($E$2:$E$241,4)</f>
        <v>152.40029000000001</v>
      </c>
      <c r="L5" s="67">
        <f t="shared" si="4"/>
        <v>29</v>
      </c>
      <c r="M5" s="85" t="str">
        <f t="shared" si="3"/>
        <v>SP2 Chorzele</v>
      </c>
      <c r="N5" s="39">
        <v>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1" ht="17.25" thickTop="1" thickBot="1">
      <c r="B6" t="str">
        <f>wyniki!B12</f>
        <v>Stańczyk Maja</v>
      </c>
      <c r="C6" s="19">
        <f>wyniki!K12</f>
        <v>203.24</v>
      </c>
      <c r="D6" s="18">
        <v>-5.0000000000000002E-5</v>
      </c>
      <c r="E6" s="19">
        <f t="shared" si="0"/>
        <v>-203.24005</v>
      </c>
      <c r="F6" t="str">
        <f>wyniki!$A$7</f>
        <v>SP14 Warszawa</v>
      </c>
      <c r="G6" s="19">
        <f t="shared" si="1"/>
        <v>-203.24</v>
      </c>
      <c r="J6" s="93" t="str">
        <f t="shared" si="2"/>
        <v>Szymańska Joanna</v>
      </c>
      <c r="K6" s="80">
        <f>-LARGE($E$2:$E$241,5)</f>
        <v>154.50028</v>
      </c>
      <c r="L6" s="67">
        <f t="shared" si="4"/>
        <v>28</v>
      </c>
      <c r="M6" s="85" t="str">
        <f t="shared" si="3"/>
        <v>SP2 Chorzele</v>
      </c>
      <c r="N6" s="39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2:31" ht="17.25" thickTop="1" thickBot="1">
      <c r="B7" t="str">
        <f>wyniki!B13</f>
        <v>Wikalińska Maria</v>
      </c>
      <c r="C7" s="19">
        <f>wyniki!K13</f>
        <v>208.96</v>
      </c>
      <c r="D7" s="18">
        <v>-6.0000000000000002E-5</v>
      </c>
      <c r="E7" s="19">
        <f t="shared" si="0"/>
        <v>-208.96006</v>
      </c>
      <c r="F7" t="str">
        <f>wyniki!$A$7</f>
        <v>SP14 Warszawa</v>
      </c>
      <c r="G7" s="19">
        <f t="shared" si="1"/>
        <v>-208.96</v>
      </c>
      <c r="J7" s="93" t="str">
        <f t="shared" si="2"/>
        <v>Rytel Emilia</v>
      </c>
      <c r="K7" s="80">
        <f>-LARGE($E$2:$E$241,6)</f>
        <v>154.54048</v>
      </c>
      <c r="L7" s="67">
        <f t="shared" si="4"/>
        <v>48</v>
      </c>
      <c r="M7" s="85" t="str">
        <f t="shared" si="3"/>
        <v>SP11 Siedlce</v>
      </c>
      <c r="N7" s="39">
        <v>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2:31" ht="17.25" thickTop="1" thickBot="1">
      <c r="B8" t="str">
        <f>wyniki!B15</f>
        <v>Cisowska Lena</v>
      </c>
      <c r="C8" s="19">
        <f>wyniki!K15</f>
        <v>200.12</v>
      </c>
      <c r="D8" s="18">
        <v>-6.9999999999999994E-5</v>
      </c>
      <c r="E8" s="19">
        <f t="shared" si="0"/>
        <v>-200.12007</v>
      </c>
      <c r="F8" t="str">
        <f>wyniki!$A$14</f>
        <v>SP204 Warszawa</v>
      </c>
      <c r="G8" s="19">
        <f t="shared" si="1"/>
        <v>-200.12</v>
      </c>
      <c r="J8" s="93" t="str">
        <f t="shared" si="2"/>
        <v>Kolenda Zofia</v>
      </c>
      <c r="K8" s="80">
        <f>-LARGE($E$2:$E$241,7)</f>
        <v>154.90051</v>
      </c>
      <c r="L8" s="67">
        <f t="shared" si="4"/>
        <v>51</v>
      </c>
      <c r="M8" s="85" t="str">
        <f t="shared" si="3"/>
        <v>SP Podkowa Leśna</v>
      </c>
      <c r="N8" s="39">
        <v>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2:31" ht="17.25" thickTop="1" thickBot="1">
      <c r="B9" t="str">
        <f>wyniki!B16</f>
        <v>Dasiewicz Barbara</v>
      </c>
      <c r="C9" s="19">
        <f>wyniki!K16</f>
        <v>156.1</v>
      </c>
      <c r="D9" s="18">
        <v>-8.0000000000000007E-5</v>
      </c>
      <c r="E9" s="19">
        <f t="shared" si="0"/>
        <v>-156.10007999999999</v>
      </c>
      <c r="F9" t="str">
        <f>wyniki!$A$14</f>
        <v>SP204 Warszawa</v>
      </c>
      <c r="G9" s="19">
        <f t="shared" si="1"/>
        <v>-156.1</v>
      </c>
      <c r="J9" s="93" t="str">
        <f t="shared" si="2"/>
        <v>Żaczek Nikola</v>
      </c>
      <c r="K9" s="80">
        <f>-LARGE($E$2:$E$241,8)</f>
        <v>155.97072</v>
      </c>
      <c r="L9" s="67">
        <f t="shared" si="4"/>
        <v>72</v>
      </c>
      <c r="M9" s="85" t="str">
        <f t="shared" si="3"/>
        <v>ZSP Jedlińsk</v>
      </c>
      <c r="N9" s="39">
        <v>8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2:31" ht="17.25" thickTop="1" thickBot="1">
      <c r="B10" t="str">
        <f>wyniki!B17</f>
        <v>Kowalska Antonina</v>
      </c>
      <c r="C10" s="19">
        <f>wyniki!K17</f>
        <v>207.87</v>
      </c>
      <c r="D10" s="18">
        <v>-9.0000000000000006E-5</v>
      </c>
      <c r="E10" s="19">
        <f t="shared" si="0"/>
        <v>-207.87009</v>
      </c>
      <c r="F10" t="str">
        <f>wyniki!$A$14</f>
        <v>SP204 Warszawa</v>
      </c>
      <c r="G10" s="19">
        <f t="shared" si="1"/>
        <v>-207.87</v>
      </c>
      <c r="J10" s="93" t="str">
        <f t="shared" si="2"/>
        <v>Zabadała Aleksandra</v>
      </c>
      <c r="K10" s="80">
        <f>-LARGE($E$2:$E$241,9)</f>
        <v>156.00037</v>
      </c>
      <c r="L10" s="67">
        <f t="shared" si="4"/>
        <v>37</v>
      </c>
      <c r="M10" s="85" t="str">
        <f t="shared" si="3"/>
        <v>SP2 Węgrów</v>
      </c>
      <c r="N10" s="39">
        <v>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2:31" ht="17.25" thickTop="1" thickBot="1">
      <c r="B11" t="str">
        <f>wyniki!B18</f>
        <v>Kowalska Maja</v>
      </c>
      <c r="C11" s="19">
        <f>wyniki!K18</f>
        <v>156.38999999999999</v>
      </c>
      <c r="D11" s="18">
        <v>-1E-4</v>
      </c>
      <c r="E11" s="19">
        <f t="shared" si="0"/>
        <v>-156.39009999999999</v>
      </c>
      <c r="F11" t="str">
        <f>wyniki!$A$14</f>
        <v>SP204 Warszawa</v>
      </c>
      <c r="G11" s="19">
        <f t="shared" si="1"/>
        <v>-156.38999999999999</v>
      </c>
      <c r="J11" s="93" t="str">
        <f t="shared" si="2"/>
        <v>Lubowiecka Nadia</v>
      </c>
      <c r="K11" s="80">
        <f>-LARGE($E$2:$E$241,10)</f>
        <v>156.01026999999999</v>
      </c>
      <c r="L11" s="67">
        <f t="shared" si="4"/>
        <v>27</v>
      </c>
      <c r="M11" s="85" t="str">
        <f t="shared" si="3"/>
        <v>SP2 Chorzele</v>
      </c>
      <c r="N11" s="39">
        <v>10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2:31" ht="17.25" thickTop="1" thickBot="1">
      <c r="B12" t="str">
        <f>wyniki!B19</f>
        <v>Rogowska Maja</v>
      </c>
      <c r="C12" s="19">
        <f>wyniki!K19</f>
        <v>200.24</v>
      </c>
      <c r="D12" s="18">
        <v>-1.1E-4</v>
      </c>
      <c r="E12" s="19">
        <f t="shared" si="0"/>
        <v>-200.24011000000002</v>
      </c>
      <c r="F12" t="str">
        <f>wyniki!$A$14</f>
        <v>SP204 Warszawa</v>
      </c>
      <c r="G12" s="19">
        <f t="shared" si="1"/>
        <v>-200.24</v>
      </c>
      <c r="J12" s="93" t="str">
        <f t="shared" si="2"/>
        <v>Dasiewicz Barbara</v>
      </c>
      <c r="K12" s="80">
        <f>-LARGE($E$2:$E$241,11)</f>
        <v>156.10007999999999</v>
      </c>
      <c r="L12" s="67">
        <f t="shared" si="4"/>
        <v>8</v>
      </c>
      <c r="M12" s="85" t="str">
        <f t="shared" si="3"/>
        <v>SP204 Warszawa</v>
      </c>
      <c r="N12" s="39">
        <v>11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2:31" ht="17.25" thickTop="1" thickBot="1">
      <c r="B13" t="str">
        <f>wyniki!B20</f>
        <v>Zarzycka Helena</v>
      </c>
      <c r="C13" s="19">
        <f>wyniki!K20</f>
        <v>157.91</v>
      </c>
      <c r="D13" s="18">
        <v>-1.2E-4</v>
      </c>
      <c r="E13" s="19">
        <f t="shared" si="0"/>
        <v>-157.91012000000001</v>
      </c>
      <c r="F13" t="str">
        <f>wyniki!$A$14</f>
        <v>SP204 Warszawa</v>
      </c>
      <c r="G13" s="19">
        <f t="shared" si="1"/>
        <v>-157.91</v>
      </c>
      <c r="J13" s="93" t="str">
        <f t="shared" si="2"/>
        <v>Kowalska Maja</v>
      </c>
      <c r="K13" s="80">
        <f>-LARGE($E$2:$E$241,12)</f>
        <v>156.39009999999999</v>
      </c>
      <c r="L13" s="67">
        <f t="shared" si="4"/>
        <v>10</v>
      </c>
      <c r="M13" s="85" t="str">
        <f t="shared" si="3"/>
        <v>SP204 Warszawa</v>
      </c>
      <c r="N13" s="39">
        <v>12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2:31" ht="17.25" thickTop="1" thickBot="1">
      <c r="B14" t="str">
        <f>wyniki!B22</f>
        <v>Gawor Maria</v>
      </c>
      <c r="C14" s="19">
        <f>wyniki!K22</f>
        <v>222.59</v>
      </c>
      <c r="D14" s="18">
        <v>-1.2999999999999999E-4</v>
      </c>
      <c r="E14" s="19">
        <f t="shared" si="0"/>
        <v>-222.59013000000002</v>
      </c>
      <c r="F14" t="str">
        <f>wyniki!$A$21</f>
        <v>PSP 2 Radom</v>
      </c>
      <c r="G14" s="19">
        <f t="shared" si="1"/>
        <v>-222.59</v>
      </c>
      <c r="J14" s="93" t="str">
        <f t="shared" si="2"/>
        <v>Niemyjska Aleksandra</v>
      </c>
      <c r="K14" s="80">
        <f>-LARGE($E$2:$E$241,13)</f>
        <v>156.96021000000002</v>
      </c>
      <c r="L14" s="67">
        <f t="shared" si="4"/>
        <v>21</v>
      </c>
      <c r="M14" s="85" t="str">
        <f t="shared" si="3"/>
        <v>SP2 Ostrów Maz.</v>
      </c>
      <c r="N14" s="39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2:31" ht="17.25" thickTop="1" thickBot="1">
      <c r="B15" t="str">
        <f>wyniki!B23</f>
        <v>Jakubowska Liliana</v>
      </c>
      <c r="C15" s="19">
        <f>wyniki!K23</f>
        <v>224.07</v>
      </c>
      <c r="D15" s="18">
        <v>-1.3999999999999999E-4</v>
      </c>
      <c r="E15" s="19">
        <f t="shared" si="0"/>
        <v>-224.07013999999998</v>
      </c>
      <c r="F15" t="str">
        <f>wyniki!$A$21</f>
        <v>PSP 2 Radom</v>
      </c>
      <c r="G15" s="19">
        <f t="shared" si="1"/>
        <v>-224.07</v>
      </c>
      <c r="J15" s="93" t="str">
        <f t="shared" si="2"/>
        <v>Krzycka Joanna</v>
      </c>
      <c r="K15" s="80">
        <f>-LARGE($E$2:$E$241,14)</f>
        <v>157.06031999999999</v>
      </c>
      <c r="L15" s="67">
        <f t="shared" si="4"/>
        <v>32</v>
      </c>
      <c r="M15" s="85" t="str">
        <f t="shared" si="3"/>
        <v>SP Bieniewice</v>
      </c>
      <c r="N15" s="39">
        <v>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2:31" ht="17.25" thickTop="1" thickBot="1">
      <c r="B16" t="str">
        <f>wyniki!B24</f>
        <v>Kąca Alicja</v>
      </c>
      <c r="C16" s="19">
        <f>wyniki!K24</f>
        <v>215.2</v>
      </c>
      <c r="D16" s="18">
        <v>-1.4999999999999999E-4</v>
      </c>
      <c r="E16" s="19">
        <f t="shared" si="0"/>
        <v>-215.20014999999998</v>
      </c>
      <c r="F16" t="str">
        <f>wyniki!$A$21</f>
        <v>PSP 2 Radom</v>
      </c>
      <c r="G16" s="19">
        <f t="shared" si="1"/>
        <v>-215.2</v>
      </c>
      <c r="J16" s="93" t="str">
        <f t="shared" si="2"/>
        <v>Grabowska Maja</v>
      </c>
      <c r="K16" s="80">
        <f>-LARGE($E$2:$E$241,15)</f>
        <v>157.07025999999999</v>
      </c>
      <c r="L16" s="67">
        <f t="shared" si="4"/>
        <v>26</v>
      </c>
      <c r="M16" s="85" t="str">
        <f t="shared" si="3"/>
        <v>SP2 Chorzele</v>
      </c>
      <c r="N16" s="39">
        <v>15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7.25" thickTop="1" thickBot="1">
      <c r="B17" t="str">
        <f>wyniki!B25</f>
        <v>Maj Amelia</v>
      </c>
      <c r="C17" s="19">
        <f>wyniki!K25</f>
        <v>209.4</v>
      </c>
      <c r="D17" s="18">
        <v>-1.6000000000000001E-4</v>
      </c>
      <c r="E17" s="19">
        <f t="shared" si="0"/>
        <v>-209.40016</v>
      </c>
      <c r="F17" t="str">
        <f>wyniki!$A$21</f>
        <v>PSP 2 Radom</v>
      </c>
      <c r="G17" s="19">
        <f t="shared" si="1"/>
        <v>-209.4</v>
      </c>
      <c r="J17" s="93" t="str">
        <f t="shared" si="2"/>
        <v>Zarzycka Helena</v>
      </c>
      <c r="K17" s="80">
        <f>-LARGE($E$2:$E$241,16)</f>
        <v>157.91012000000001</v>
      </c>
      <c r="L17" s="67">
        <f t="shared" si="4"/>
        <v>12</v>
      </c>
      <c r="M17" s="85" t="str">
        <f t="shared" si="3"/>
        <v>SP204 Warszawa</v>
      </c>
      <c r="N17" s="39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7.25" thickTop="1" thickBot="1">
      <c r="B18" t="str">
        <f>wyniki!B26</f>
        <v>Piotrowska Iga</v>
      </c>
      <c r="C18" s="19">
        <f>wyniki!K26</f>
        <v>213.95</v>
      </c>
      <c r="D18" s="18">
        <v>-1.7000000000000001E-4</v>
      </c>
      <c r="E18" s="19">
        <f t="shared" si="0"/>
        <v>-213.95016999999999</v>
      </c>
      <c r="F18" t="str">
        <f>wyniki!$A$21</f>
        <v>PSP 2 Radom</v>
      </c>
      <c r="G18" s="19">
        <f t="shared" si="1"/>
        <v>-213.95</v>
      </c>
      <c r="J18" s="93" t="str">
        <f t="shared" si="2"/>
        <v>Kołakowska Gabriela</v>
      </c>
      <c r="K18" s="80">
        <f>-LARGE($E$2:$E$241,17)</f>
        <v>158.5402</v>
      </c>
      <c r="L18" s="67">
        <f t="shared" si="4"/>
        <v>20</v>
      </c>
      <c r="M18" s="85" t="str">
        <f t="shared" si="3"/>
        <v>SP2 Ostrów Maz.</v>
      </c>
      <c r="N18" s="39">
        <v>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7.25" thickTop="1" thickBot="1">
      <c r="B19" t="str">
        <f>wyniki!B27</f>
        <v>Tyczyńska Lena</v>
      </c>
      <c r="C19" s="19">
        <f>wyniki!K27</f>
        <v>239.51</v>
      </c>
      <c r="D19" s="18">
        <v>-1.8000000000000001E-4</v>
      </c>
      <c r="E19" s="19">
        <f t="shared" si="0"/>
        <v>-239.51017999999999</v>
      </c>
      <c r="F19" t="str">
        <f>wyniki!$A$21</f>
        <v>PSP 2 Radom</v>
      </c>
      <c r="G19" s="19">
        <f t="shared" si="1"/>
        <v>-239.51</v>
      </c>
      <c r="J19" s="93" t="str">
        <f t="shared" si="2"/>
        <v>Zasowska Zofia</v>
      </c>
      <c r="K19" s="80">
        <f>-LARGE($E$2:$E$241,18)</f>
        <v>159.50036</v>
      </c>
      <c r="L19" s="67">
        <f t="shared" si="4"/>
        <v>36</v>
      </c>
      <c r="M19" s="85" t="str">
        <f t="shared" si="3"/>
        <v>SP Bieniewice</v>
      </c>
      <c r="N19" s="39">
        <v>18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7.25" thickTop="1" thickBot="1">
      <c r="B20" t="str">
        <f>wyniki!B29</f>
        <v>Burkiewicz Amelia</v>
      </c>
      <c r="C20" s="19">
        <f>wyniki!K29</f>
        <v>210.49</v>
      </c>
      <c r="D20" s="18">
        <v>-1.9000000000000001E-4</v>
      </c>
      <c r="E20" s="19">
        <f t="shared" si="0"/>
        <v>-210.49019000000001</v>
      </c>
      <c r="F20" t="str">
        <f>wyniki!$A$28</f>
        <v>SP2 Ostrów Maz.</v>
      </c>
      <c r="G20" s="19">
        <f t="shared" si="1"/>
        <v>-210.49</v>
      </c>
      <c r="J20" s="93" t="str">
        <f t="shared" si="2"/>
        <v>Mościcka Gabriela</v>
      </c>
      <c r="K20" s="80">
        <f>-LARGE($E$2:$E$241,19)</f>
        <v>159.91046</v>
      </c>
      <c r="L20" s="67">
        <f t="shared" si="4"/>
        <v>46</v>
      </c>
      <c r="M20" s="85" t="str">
        <f t="shared" si="3"/>
        <v>SP11 Siedlce</v>
      </c>
      <c r="N20" s="39">
        <v>19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7.25" thickTop="1" thickBot="1">
      <c r="B21" t="str">
        <f>wyniki!B30</f>
        <v>Kołakowska Gabriela</v>
      </c>
      <c r="C21" s="19">
        <f>wyniki!K30</f>
        <v>158.54</v>
      </c>
      <c r="D21" s="18">
        <v>-2.0000000000000001E-4</v>
      </c>
      <c r="E21" s="19">
        <f t="shared" si="0"/>
        <v>-158.5402</v>
      </c>
      <c r="F21" t="str">
        <f>wyniki!$A$28</f>
        <v>SP2 Ostrów Maz.</v>
      </c>
      <c r="G21" s="19">
        <f t="shared" si="1"/>
        <v>-158.54</v>
      </c>
      <c r="J21" s="93" t="str">
        <f t="shared" si="2"/>
        <v>Cisowska Lena</v>
      </c>
      <c r="K21" s="80">
        <f>-LARGE($E$2:$E$241,20)</f>
        <v>200.12007</v>
      </c>
      <c r="L21" s="67">
        <f t="shared" si="4"/>
        <v>7</v>
      </c>
      <c r="M21" s="85" t="str">
        <f t="shared" si="3"/>
        <v>SP204 Warszawa</v>
      </c>
      <c r="N21" s="39">
        <v>20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2:31" ht="17.25" thickTop="1" thickBot="1">
      <c r="B22" t="str">
        <f>wyniki!B31</f>
        <v>Niemyjska Aleksandra</v>
      </c>
      <c r="C22" s="19">
        <f>wyniki!K31</f>
        <v>156.96</v>
      </c>
      <c r="D22" s="18">
        <v>-2.1000000000000001E-4</v>
      </c>
      <c r="E22" s="19">
        <f t="shared" si="0"/>
        <v>-156.96021000000002</v>
      </c>
      <c r="F22" t="str">
        <f>wyniki!$A$28</f>
        <v>SP2 Ostrów Maz.</v>
      </c>
      <c r="G22" s="19">
        <f t="shared" si="1"/>
        <v>-156.96</v>
      </c>
      <c r="J22" s="93" t="str">
        <f t="shared" si="2"/>
        <v>Rogowska Maja</v>
      </c>
      <c r="K22" s="80">
        <f>-LARGE($E$2:$E$241,21)</f>
        <v>200.24011000000002</v>
      </c>
      <c r="L22" s="67">
        <f t="shared" si="4"/>
        <v>11</v>
      </c>
      <c r="M22" s="85" t="str">
        <f t="shared" si="3"/>
        <v>SP204 Warszawa</v>
      </c>
      <c r="N22" s="39">
        <v>21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17.25" thickTop="1" thickBot="1">
      <c r="B23" t="str">
        <f>wyniki!B32</f>
        <v>Paradukha Viktoria</v>
      </c>
      <c r="C23" s="19">
        <f>wyniki!K32</f>
        <v>148.56</v>
      </c>
      <c r="D23" s="18">
        <v>-2.2000000000000001E-4</v>
      </c>
      <c r="E23" s="19">
        <f t="shared" si="0"/>
        <v>-148.56022000000002</v>
      </c>
      <c r="F23" t="str">
        <f>wyniki!$A$28</f>
        <v>SP2 Ostrów Maz.</v>
      </c>
      <c r="G23" s="19">
        <f t="shared" si="1"/>
        <v>-148.56</v>
      </c>
      <c r="J23" s="93" t="str">
        <f t="shared" si="2"/>
        <v>Obrębska Maja</v>
      </c>
      <c r="K23" s="80">
        <f>-LARGE($E$2:$E$241,22)</f>
        <v>200.49033</v>
      </c>
      <c r="L23" s="67">
        <f t="shared" si="4"/>
        <v>33</v>
      </c>
      <c r="M23" s="85" t="str">
        <f t="shared" si="3"/>
        <v>SP Bieniewice</v>
      </c>
      <c r="N23" s="39">
        <v>22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7.25" thickTop="1" thickBot="1">
      <c r="B24" t="str">
        <f>wyniki!B33</f>
        <v>Wojsz Paulina</v>
      </c>
      <c r="C24" s="19">
        <f>wyniki!K33</f>
        <v>229.78</v>
      </c>
      <c r="D24" s="18">
        <v>-2.3000000000000001E-4</v>
      </c>
      <c r="E24" s="19">
        <f t="shared" si="0"/>
        <v>-229.78022999999999</v>
      </c>
      <c r="F24" t="str">
        <f>wyniki!$A$28</f>
        <v>SP2 Ostrów Maz.</v>
      </c>
      <c r="G24" s="19">
        <f t="shared" si="1"/>
        <v>-229.78</v>
      </c>
      <c r="J24" s="93" t="str">
        <f t="shared" si="2"/>
        <v>Wachowiak Maja</v>
      </c>
      <c r="K24" s="80">
        <f>-LARGE($E$2:$E$241,23)</f>
        <v>201.15034</v>
      </c>
      <c r="L24" s="67">
        <f t="shared" si="4"/>
        <v>34</v>
      </c>
      <c r="M24" s="85" t="str">
        <f t="shared" si="3"/>
        <v>SP Bieniewice</v>
      </c>
      <c r="N24" s="39">
        <v>23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7.25" thickTop="1" thickBot="1">
      <c r="B25" t="str">
        <f>wyniki!B34</f>
        <v>Radgowska Maja</v>
      </c>
      <c r="C25" s="19">
        <f>wyniki!K34</f>
        <v>208.79</v>
      </c>
      <c r="D25" s="18">
        <v>-2.4000000000000001E-4</v>
      </c>
      <c r="E25" s="19">
        <f t="shared" si="0"/>
        <v>-208.79023999999998</v>
      </c>
      <c r="F25" t="str">
        <f>wyniki!$A$28</f>
        <v>SP2 Ostrów Maz.</v>
      </c>
      <c r="G25" s="19">
        <f t="shared" si="1"/>
        <v>-208.79</v>
      </c>
      <c r="J25" s="93" t="str">
        <f t="shared" si="2"/>
        <v>Bąbiak Gabriela</v>
      </c>
      <c r="K25" s="80">
        <f>-LARGE($E$2:$E$241,24)</f>
        <v>201.25049000000001</v>
      </c>
      <c r="L25" s="67">
        <f t="shared" si="4"/>
        <v>49</v>
      </c>
      <c r="M25" s="85" t="str">
        <f t="shared" si="3"/>
        <v>SP Podkowa Leśna</v>
      </c>
      <c r="N25" s="39"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7.25" thickTop="1" thickBot="1">
      <c r="B26" t="str">
        <f>wyniki!B36</f>
        <v>Furman Alicja</v>
      </c>
      <c r="C26" s="19">
        <f>wyniki!K36</f>
        <v>202.55</v>
      </c>
      <c r="D26" s="18">
        <v>-2.5000000000000001E-4</v>
      </c>
      <c r="E26" s="19">
        <f t="shared" si="0"/>
        <v>-202.55025000000001</v>
      </c>
      <c r="F26" t="str">
        <f>wyniki!$A$35</f>
        <v>SP2 Chorzele</v>
      </c>
      <c r="G26" s="19">
        <f t="shared" si="1"/>
        <v>-202.55</v>
      </c>
      <c r="J26" s="93" t="str">
        <f t="shared" si="2"/>
        <v>Woźniak Maja</v>
      </c>
      <c r="K26" s="80">
        <f>-LARGE($E$2:$E$241,25)</f>
        <v>202.4203</v>
      </c>
      <c r="L26" s="67">
        <f t="shared" si="4"/>
        <v>30</v>
      </c>
      <c r="M26" s="85" t="str">
        <f t="shared" si="3"/>
        <v>SP2 Chorzele</v>
      </c>
      <c r="N26" s="39">
        <v>25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7.25" thickTop="1" thickBot="1">
      <c r="B27" t="str">
        <f>wyniki!B37</f>
        <v>Grabowska Maja</v>
      </c>
      <c r="C27" s="19">
        <f>wyniki!K37</f>
        <v>157.07</v>
      </c>
      <c r="D27" s="18">
        <v>-2.5999999999999998E-4</v>
      </c>
      <c r="E27" s="19">
        <f t="shared" si="0"/>
        <v>-157.07025999999999</v>
      </c>
      <c r="F27" t="str">
        <f>wyniki!$A$35</f>
        <v>SP2 Chorzele</v>
      </c>
      <c r="G27" s="19">
        <f t="shared" si="1"/>
        <v>-157.07</v>
      </c>
      <c r="J27" s="93" t="str">
        <f t="shared" si="2"/>
        <v>Furman Alicja</v>
      </c>
      <c r="K27" s="80">
        <f>-LARGE($E$2:$E$241,26)</f>
        <v>202.55025000000001</v>
      </c>
      <c r="L27" s="67">
        <f t="shared" si="4"/>
        <v>25</v>
      </c>
      <c r="M27" s="85" t="str">
        <f t="shared" si="3"/>
        <v>SP2 Chorzele</v>
      </c>
      <c r="N27" s="39">
        <v>26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7.25" thickTop="1" thickBot="1">
      <c r="B28" t="str">
        <f>wyniki!B38</f>
        <v>Lubowiecka Nadia</v>
      </c>
      <c r="C28" s="19">
        <f>wyniki!K38</f>
        <v>156.01</v>
      </c>
      <c r="D28" s="18">
        <v>-2.7E-4</v>
      </c>
      <c r="E28" s="19">
        <f t="shared" si="0"/>
        <v>-156.01026999999999</v>
      </c>
      <c r="F28" t="str">
        <f>wyniki!$A$35</f>
        <v>SP2 Chorzele</v>
      </c>
      <c r="G28" s="19">
        <f t="shared" si="1"/>
        <v>-156.01</v>
      </c>
      <c r="J28" s="93" t="str">
        <f t="shared" si="2"/>
        <v>Spiechowicz Lidia</v>
      </c>
      <c r="K28" s="80">
        <f>-LARGE($E$2:$E$241,27)</f>
        <v>202.83064000000002</v>
      </c>
      <c r="L28" s="67">
        <f t="shared" si="4"/>
        <v>64</v>
      </c>
      <c r="M28" s="85" t="str">
        <f t="shared" si="3"/>
        <v>SP3 Piaseczno</v>
      </c>
      <c r="N28" s="39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7.25" thickTop="1" thickBot="1">
      <c r="B29" t="str">
        <f>wyniki!B39</f>
        <v>Szymańska Joanna</v>
      </c>
      <c r="C29" s="19">
        <f>wyniki!K39</f>
        <v>154.5</v>
      </c>
      <c r="D29" s="18">
        <v>-2.7999999999999998E-4</v>
      </c>
      <c r="E29" s="19">
        <f t="shared" si="0"/>
        <v>-154.50028</v>
      </c>
      <c r="F29" t="str">
        <f>wyniki!$A$35</f>
        <v>SP2 Chorzele</v>
      </c>
      <c r="G29" s="19">
        <f t="shared" si="1"/>
        <v>-154.5</v>
      </c>
      <c r="J29" s="93" t="str">
        <f t="shared" si="2"/>
        <v>Bany Monika</v>
      </c>
      <c r="K29" s="80">
        <f>-LARGE($E$2:$E$241,28)</f>
        <v>202.89060999999998</v>
      </c>
      <c r="L29" s="67">
        <f t="shared" si="4"/>
        <v>61</v>
      </c>
      <c r="M29" s="85" t="str">
        <f t="shared" si="3"/>
        <v>SP3 Piaseczno</v>
      </c>
      <c r="N29" s="39">
        <v>28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7.25" thickTop="1" thickBot="1">
      <c r="B30" t="str">
        <f>wyniki!B40</f>
        <v>Tłoczkowska Marta</v>
      </c>
      <c r="C30" s="19">
        <f>wyniki!K40</f>
        <v>152.4</v>
      </c>
      <c r="D30" s="18">
        <v>-2.9E-4</v>
      </c>
      <c r="E30" s="19">
        <f t="shared" si="0"/>
        <v>-152.40029000000001</v>
      </c>
      <c r="F30" t="str">
        <f>wyniki!$A$35</f>
        <v>SP2 Chorzele</v>
      </c>
      <c r="G30" s="19">
        <f t="shared" si="1"/>
        <v>-152.4</v>
      </c>
      <c r="J30" s="93" t="str">
        <f t="shared" si="2"/>
        <v>Stańczyk Maja</v>
      </c>
      <c r="K30" s="80">
        <f>-LARGE($E$2:$E$241,29)</f>
        <v>203.24005</v>
      </c>
      <c r="L30" s="67">
        <f t="shared" si="4"/>
        <v>5</v>
      </c>
      <c r="M30" s="85" t="str">
        <f t="shared" si="3"/>
        <v>SP14 Warszawa</v>
      </c>
      <c r="N30" s="39">
        <v>29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7.25" thickTop="1" thickBot="1">
      <c r="B31" t="str">
        <f>wyniki!B41</f>
        <v>Woźniak Maja</v>
      </c>
      <c r="C31" s="19">
        <f>wyniki!K41</f>
        <v>202.42</v>
      </c>
      <c r="D31" s="18">
        <v>-2.9999999999999997E-4</v>
      </c>
      <c r="E31" s="19">
        <f t="shared" si="0"/>
        <v>-202.4203</v>
      </c>
      <c r="F31" t="str">
        <f>wyniki!$A$35</f>
        <v>SP2 Chorzele</v>
      </c>
      <c r="G31" s="19">
        <f t="shared" si="1"/>
        <v>-202.42</v>
      </c>
      <c r="J31" s="93" t="str">
        <f t="shared" si="2"/>
        <v>Tryzno Alicja</v>
      </c>
      <c r="K31" s="80">
        <f>-LARGE($E$2:$E$241,30)</f>
        <v>203.43054000000001</v>
      </c>
      <c r="L31" s="67">
        <f t="shared" si="4"/>
        <v>54</v>
      </c>
      <c r="M31" s="85" t="str">
        <f t="shared" si="3"/>
        <v>SP Podkowa Leśna</v>
      </c>
      <c r="N31" s="39">
        <v>30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7.25" thickTop="1" thickBot="1">
      <c r="B32" t="str">
        <f>wyniki!B43</f>
        <v>Borys Paulina</v>
      </c>
      <c r="C32" s="19">
        <f>wyniki!K43</f>
        <v>149.47999999999999</v>
      </c>
      <c r="D32" s="18">
        <v>-3.1E-4</v>
      </c>
      <c r="E32" s="19">
        <f t="shared" si="0"/>
        <v>-149.48031</v>
      </c>
      <c r="F32" t="str">
        <f>wyniki!$A$42</f>
        <v>SP Bieniewice</v>
      </c>
      <c r="G32" s="19">
        <f t="shared" si="1"/>
        <v>-149.47999999999999</v>
      </c>
      <c r="J32" s="93" t="str">
        <f t="shared" si="2"/>
        <v>Krutkowska Amelia</v>
      </c>
      <c r="K32" s="80">
        <f>-LARGE($E$2:$E$241,31)</f>
        <v>204.63051999999999</v>
      </c>
      <c r="L32" s="67">
        <f t="shared" si="4"/>
        <v>52</v>
      </c>
      <c r="M32" s="85" t="str">
        <f t="shared" si="3"/>
        <v>SP Podkowa Leśna</v>
      </c>
      <c r="N32" s="39">
        <v>31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2:31" ht="17.25" thickTop="1" thickBot="1">
      <c r="B33" t="str">
        <f>wyniki!B44</f>
        <v>Krzycka Joanna</v>
      </c>
      <c r="C33" s="19">
        <f>wyniki!K44</f>
        <v>157.06</v>
      </c>
      <c r="D33" s="18">
        <v>-3.2000000000000003E-4</v>
      </c>
      <c r="E33" s="19">
        <f t="shared" si="0"/>
        <v>-157.06031999999999</v>
      </c>
      <c r="F33" t="str">
        <f>wyniki!$A$42</f>
        <v>SP Bieniewice</v>
      </c>
      <c r="G33" s="19">
        <f t="shared" si="1"/>
        <v>-157.06</v>
      </c>
      <c r="J33" s="93" t="str">
        <f t="shared" si="2"/>
        <v>Niedziółka Weronika</v>
      </c>
      <c r="K33" s="80">
        <f>-LARGE($E$2:$E$241,32)</f>
        <v>204.96047000000002</v>
      </c>
      <c r="L33" s="67">
        <f t="shared" si="4"/>
        <v>47</v>
      </c>
      <c r="M33" s="85" t="str">
        <f t="shared" si="3"/>
        <v>SP11 Siedlce</v>
      </c>
      <c r="N33" s="39">
        <v>32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1" ht="17.25" thickTop="1" thickBot="1">
      <c r="B34" t="str">
        <f>wyniki!B45</f>
        <v>Obrębska Maja</v>
      </c>
      <c r="C34" s="19">
        <f>wyniki!K45</f>
        <v>200.49</v>
      </c>
      <c r="D34" s="18">
        <v>-3.3E-4</v>
      </c>
      <c r="E34" s="19">
        <f t="shared" si="0"/>
        <v>-200.49033</v>
      </c>
      <c r="F34" t="str">
        <f>wyniki!$A$42</f>
        <v>SP Bieniewice</v>
      </c>
      <c r="G34" s="19">
        <f t="shared" si="1"/>
        <v>-200.49</v>
      </c>
      <c r="J34" s="93" t="str">
        <f t="shared" si="2"/>
        <v>Wolska Julia</v>
      </c>
      <c r="K34" s="80">
        <f>-LARGE($E$2:$E$241,33)</f>
        <v>205.05035000000001</v>
      </c>
      <c r="L34" s="67">
        <f t="shared" si="4"/>
        <v>35</v>
      </c>
      <c r="M34" s="85" t="str">
        <f t="shared" si="3"/>
        <v>SP Bieniewice</v>
      </c>
      <c r="N34" s="39">
        <v>33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1" ht="17.25" thickTop="1" thickBot="1">
      <c r="B35" t="str">
        <f>wyniki!B46</f>
        <v>Wachowiak Maja</v>
      </c>
      <c r="C35" s="19">
        <f>wyniki!K46</f>
        <v>201.15</v>
      </c>
      <c r="D35" s="18">
        <v>-3.4000000000000002E-4</v>
      </c>
      <c r="E35" s="19">
        <f t="shared" si="0"/>
        <v>-201.15034</v>
      </c>
      <c r="F35" t="str">
        <f>wyniki!$A$42</f>
        <v>SP Bieniewice</v>
      </c>
      <c r="G35" s="19">
        <f t="shared" si="1"/>
        <v>-201.15</v>
      </c>
      <c r="J35" s="93" t="str">
        <f t="shared" si="2"/>
        <v>Dłużewska Julia</v>
      </c>
      <c r="K35" s="80">
        <f>-LARGE($E$2:$E$241,34)</f>
        <v>205.10002</v>
      </c>
      <c r="L35" s="67">
        <f t="shared" si="4"/>
        <v>2</v>
      </c>
      <c r="M35" s="85" t="str">
        <f t="shared" si="3"/>
        <v>SP14 Warszawa</v>
      </c>
      <c r="N35" s="39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ht="17.25" thickTop="1" thickBot="1">
      <c r="B36" t="str">
        <f>wyniki!B47</f>
        <v>Wolska Julia</v>
      </c>
      <c r="C36" s="19">
        <f>wyniki!K47</f>
        <v>205.05</v>
      </c>
      <c r="D36" s="18">
        <v>-3.5E-4</v>
      </c>
      <c r="E36" s="19">
        <f t="shared" si="0"/>
        <v>-205.05035000000001</v>
      </c>
      <c r="F36" t="str">
        <f>wyniki!$A$42</f>
        <v>SP Bieniewice</v>
      </c>
      <c r="G36" s="19">
        <f t="shared" si="1"/>
        <v>-205.05</v>
      </c>
      <c r="J36" s="93" t="str">
        <f t="shared" si="2"/>
        <v>Kowalska Antonina</v>
      </c>
      <c r="K36" s="80">
        <f>-LARGE($E$2:$E$241,35)</f>
        <v>207.87009</v>
      </c>
      <c r="L36" s="67">
        <f t="shared" si="4"/>
        <v>9</v>
      </c>
      <c r="M36" s="85" t="str">
        <f t="shared" si="3"/>
        <v>SP204 Warszawa</v>
      </c>
      <c r="N36" s="39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7.25" thickTop="1" thickBot="1">
      <c r="B37" t="str">
        <f>wyniki!B48</f>
        <v>Zasowska Zofia</v>
      </c>
      <c r="C37" s="19">
        <f>wyniki!K48</f>
        <v>159.5</v>
      </c>
      <c r="D37" s="18">
        <v>-3.6000000000000002E-4</v>
      </c>
      <c r="E37" s="19">
        <f t="shared" si="0"/>
        <v>-159.50036</v>
      </c>
      <c r="F37" t="str">
        <f>wyniki!$A$42</f>
        <v>SP Bieniewice</v>
      </c>
      <c r="G37" s="19">
        <f t="shared" si="1"/>
        <v>-159.5</v>
      </c>
      <c r="J37" s="93" t="str">
        <f t="shared" si="2"/>
        <v>Pietruszka Aleksandra</v>
      </c>
      <c r="K37" s="80">
        <f>-LARGE($E$2:$E$241,36)</f>
        <v>208.09004000000002</v>
      </c>
      <c r="L37" s="67">
        <f t="shared" si="4"/>
        <v>4</v>
      </c>
      <c r="M37" s="85" t="str">
        <f t="shared" si="3"/>
        <v>SP14 Warszawa</v>
      </c>
      <c r="N37" s="39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1" ht="17.25" thickTop="1" thickBot="1">
      <c r="B38" t="str">
        <f>wyniki!B50</f>
        <v>Zabadała Aleksandra</v>
      </c>
      <c r="C38" s="19">
        <f>wyniki!K50</f>
        <v>156</v>
      </c>
      <c r="D38" s="18">
        <v>-3.6999999999999999E-4</v>
      </c>
      <c r="E38" s="19">
        <f t="shared" si="0"/>
        <v>-156.00037</v>
      </c>
      <c r="F38" t="str">
        <f>wyniki!$A$49</f>
        <v>SP2 Węgrów</v>
      </c>
      <c r="G38" s="19">
        <f t="shared" si="1"/>
        <v>-156</v>
      </c>
      <c r="J38" s="93" t="str">
        <f t="shared" si="2"/>
        <v>Gryz Amelia</v>
      </c>
      <c r="K38" s="80">
        <f>-LARGE($E$2:$E$241,37)</f>
        <v>208.20068999999998</v>
      </c>
      <c r="L38" s="67">
        <f t="shared" si="4"/>
        <v>69</v>
      </c>
      <c r="M38" s="85" t="str">
        <f t="shared" si="3"/>
        <v>ZSP Jedlińsk</v>
      </c>
      <c r="N38" s="39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7.25" thickTop="1" thickBot="1">
      <c r="B39" t="str">
        <f>wyniki!B51</f>
        <v>Jachowicz Roksana</v>
      </c>
      <c r="C39" s="19">
        <f>wyniki!K51</f>
        <v>208.99</v>
      </c>
      <c r="D39" s="18">
        <v>-3.8000000000000002E-4</v>
      </c>
      <c r="E39" s="19">
        <f t="shared" si="0"/>
        <v>-208.99038000000002</v>
      </c>
      <c r="F39" t="str">
        <f>wyniki!$A$49</f>
        <v>SP2 Węgrów</v>
      </c>
      <c r="G39" s="19">
        <f t="shared" si="1"/>
        <v>-208.99</v>
      </c>
      <c r="J39" s="93" t="str">
        <f t="shared" si="2"/>
        <v>Kmieć Zuzanna</v>
      </c>
      <c r="K39" s="80">
        <f>-LARGE($E$2:$E$241,38)</f>
        <v>208.29041999999998</v>
      </c>
      <c r="L39" s="67">
        <f t="shared" si="4"/>
        <v>42</v>
      </c>
      <c r="M39" s="85" t="str">
        <f t="shared" si="3"/>
        <v>SP2 Węgrów</v>
      </c>
      <c r="N39" s="39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7.25" thickTop="1" thickBot="1">
      <c r="B40" t="str">
        <f>wyniki!B52</f>
        <v>Mikołajewska Iga</v>
      </c>
      <c r="C40" s="19">
        <f>wyniki!K52</f>
        <v>223.9</v>
      </c>
      <c r="D40" s="18">
        <v>-3.8999999999999999E-4</v>
      </c>
      <c r="E40" s="19">
        <f t="shared" si="0"/>
        <v>-223.90039000000002</v>
      </c>
      <c r="F40" t="str">
        <f>wyniki!$A$49</f>
        <v>SP2 Węgrów</v>
      </c>
      <c r="G40" s="19">
        <f t="shared" si="1"/>
        <v>-223.9</v>
      </c>
      <c r="J40" s="93" t="str">
        <f t="shared" si="2"/>
        <v>Macutkiewicz Wiktoria</v>
      </c>
      <c r="K40" s="80">
        <f>-LARGE($E$2:$E$241,39)</f>
        <v>208.40053</v>
      </c>
      <c r="L40" s="67">
        <f t="shared" si="4"/>
        <v>53</v>
      </c>
      <c r="M40" s="85" t="str">
        <f t="shared" si="3"/>
        <v>SP Podkowa Leśna</v>
      </c>
      <c r="N40" s="39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7.25" thickTop="1" thickBot="1">
      <c r="B41" t="str">
        <f>wyniki!B53</f>
        <v>Wąsożnik Zofia</v>
      </c>
      <c r="C41" s="19">
        <f>wyniki!K53</f>
        <v>150.34</v>
      </c>
      <c r="D41" s="18">
        <v>-4.0000000000000002E-4</v>
      </c>
      <c r="E41" s="19">
        <f t="shared" si="0"/>
        <v>-150.34040000000002</v>
      </c>
      <c r="F41" t="str">
        <f>wyniki!$A$49</f>
        <v>SP2 Węgrów</v>
      </c>
      <c r="G41" s="19">
        <f t="shared" si="1"/>
        <v>-150.34</v>
      </c>
      <c r="J41" s="93" t="str">
        <f t="shared" si="2"/>
        <v>Hajdenrach Antonina</v>
      </c>
      <c r="K41" s="80">
        <f>-LARGE($E$2:$E$241,40)</f>
        <v>208.5805</v>
      </c>
      <c r="L41" s="67">
        <f t="shared" si="4"/>
        <v>50</v>
      </c>
      <c r="M41" s="85" t="str">
        <f t="shared" si="3"/>
        <v>SP Podkowa Leśna</v>
      </c>
      <c r="N41" s="39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7.25" thickTop="1" thickBot="1">
      <c r="B42" t="str">
        <f>wyniki!B54</f>
        <v>Wrzeszcz Anna</v>
      </c>
      <c r="C42" s="19">
        <f>wyniki!K54</f>
        <v>212.68</v>
      </c>
      <c r="D42" s="18">
        <v>-4.0999999999999999E-4</v>
      </c>
      <c r="E42" s="19">
        <f t="shared" si="0"/>
        <v>-212.68040999999999</v>
      </c>
      <c r="F42" t="str">
        <f>wyniki!$A$49</f>
        <v>SP2 Węgrów</v>
      </c>
      <c r="G42" s="19">
        <f t="shared" si="1"/>
        <v>-212.68</v>
      </c>
      <c r="J42" s="93" t="str">
        <f t="shared" si="2"/>
        <v>Pazio Zofia</v>
      </c>
      <c r="K42" s="80">
        <f>-LARGE($E$2:$E$241,41)</f>
        <v>208.78058000000001</v>
      </c>
      <c r="L42" s="67">
        <f t="shared" si="4"/>
        <v>58</v>
      </c>
      <c r="M42" s="85" t="str">
        <f t="shared" si="3"/>
        <v>ZSP Lesznowola</v>
      </c>
      <c r="N42" s="39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7.25" thickTop="1" thickBot="1">
      <c r="B43" t="str">
        <f>wyniki!B55</f>
        <v>Kmieć Zuzanna</v>
      </c>
      <c r="C43" s="19">
        <f>wyniki!K55</f>
        <v>208.29</v>
      </c>
      <c r="D43" s="18">
        <v>-4.2000000000000002E-4</v>
      </c>
      <c r="E43" s="19">
        <f t="shared" si="0"/>
        <v>-208.29041999999998</v>
      </c>
      <c r="F43" t="str">
        <f>wyniki!$A$49</f>
        <v>SP2 Węgrów</v>
      </c>
      <c r="G43" s="19">
        <f t="shared" si="1"/>
        <v>-208.29</v>
      </c>
      <c r="J43" s="93" t="str">
        <f t="shared" si="2"/>
        <v>Radgowska Maja</v>
      </c>
      <c r="K43" s="80">
        <f>-LARGE($E$2:$E$241,42)</f>
        <v>208.79023999999998</v>
      </c>
      <c r="L43" s="67">
        <f t="shared" si="4"/>
        <v>24</v>
      </c>
      <c r="M43" s="85" t="str">
        <f t="shared" si="3"/>
        <v>SP2 Ostrów Maz.</v>
      </c>
      <c r="N43" s="39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7.25" thickTop="1" thickBot="1">
      <c r="B44" t="str">
        <f>wyniki!B57</f>
        <v>Chromińska Maja</v>
      </c>
      <c r="C44" s="19">
        <f>wyniki!K57</f>
        <v>217.57</v>
      </c>
      <c r="D44" s="18">
        <v>-4.2999999999999999E-4</v>
      </c>
      <c r="E44" s="19">
        <f t="shared" si="0"/>
        <v>-217.57042999999999</v>
      </c>
      <c r="F44" t="str">
        <f>wyniki!$A$56</f>
        <v>SP11 Siedlce</v>
      </c>
      <c r="G44" s="19">
        <f t="shared" si="1"/>
        <v>-217.57</v>
      </c>
      <c r="J44" s="93" t="str">
        <f t="shared" si="2"/>
        <v>Żaczek Maja</v>
      </c>
      <c r="K44" s="80">
        <f>-LARGE($E$2:$E$241,43)</f>
        <v>208.79070999999999</v>
      </c>
      <c r="L44" s="67">
        <f t="shared" si="4"/>
        <v>71</v>
      </c>
      <c r="M44" s="85" t="str">
        <f t="shared" si="3"/>
        <v>ZSP Jedlińsk</v>
      </c>
      <c r="N44" s="39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7.25" thickTop="1" thickBot="1">
      <c r="B45" t="str">
        <f>wyniki!B58</f>
        <v>Fiuk Julia</v>
      </c>
      <c r="C45" s="19">
        <f>wyniki!K58</f>
        <v>218.03</v>
      </c>
      <c r="D45" s="18">
        <v>-4.4000000000000002E-4</v>
      </c>
      <c r="E45" s="19">
        <f t="shared" si="0"/>
        <v>-218.03044</v>
      </c>
      <c r="F45" t="str">
        <f>wyniki!$A$56</f>
        <v>SP11 Siedlce</v>
      </c>
      <c r="G45" s="19">
        <f t="shared" si="1"/>
        <v>-218.03</v>
      </c>
      <c r="J45" s="93" t="str">
        <f t="shared" si="2"/>
        <v>Wikalińska Maria</v>
      </c>
      <c r="K45" s="80">
        <f>-LARGE($E$2:$E$241,44)</f>
        <v>208.96006</v>
      </c>
      <c r="L45" s="67">
        <f t="shared" si="4"/>
        <v>6</v>
      </c>
      <c r="M45" s="85" t="str">
        <f t="shared" si="3"/>
        <v>SP14 Warszawa</v>
      </c>
      <c r="N45" s="39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7.25" thickTop="1" thickBot="1">
      <c r="B46" t="str">
        <f>wyniki!B59</f>
        <v>Kowal Natalia</v>
      </c>
      <c r="C46" s="19">
        <f>wyniki!K59</f>
        <v>218.8</v>
      </c>
      <c r="D46" s="18">
        <v>-4.4999999999999999E-4</v>
      </c>
      <c r="E46" s="19">
        <f t="shared" si="0"/>
        <v>-218.80045000000001</v>
      </c>
      <c r="F46" t="str">
        <f>wyniki!$A$56</f>
        <v>SP11 Siedlce</v>
      </c>
      <c r="G46" s="19">
        <f t="shared" si="1"/>
        <v>-218.8</v>
      </c>
      <c r="J46" s="93" t="str">
        <f t="shared" si="2"/>
        <v>Jachowicz Roksana</v>
      </c>
      <c r="K46" s="80">
        <f>-LARGE($E$2:$E$241,45)</f>
        <v>208.99038000000002</v>
      </c>
      <c r="L46" s="67">
        <f t="shared" si="4"/>
        <v>38</v>
      </c>
      <c r="M46" s="85" t="str">
        <f t="shared" si="3"/>
        <v>SP2 Węgrów</v>
      </c>
      <c r="N46" s="39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1" ht="17.25" thickTop="1" thickBot="1">
      <c r="B47" t="str">
        <f>wyniki!B60</f>
        <v>Mościcka Gabriela</v>
      </c>
      <c r="C47" s="19">
        <f>wyniki!K60</f>
        <v>159.91</v>
      </c>
      <c r="D47" s="18">
        <v>-4.6000000000000001E-4</v>
      </c>
      <c r="E47" s="19">
        <f t="shared" si="0"/>
        <v>-159.91046</v>
      </c>
      <c r="F47" t="str">
        <f>wyniki!$A$56</f>
        <v>SP11 Siedlce</v>
      </c>
      <c r="G47" s="19">
        <f t="shared" si="1"/>
        <v>-159.91</v>
      </c>
      <c r="J47" s="93" t="str">
        <f t="shared" si="2"/>
        <v>Maj Amelia</v>
      </c>
      <c r="K47" s="80">
        <f>-LARGE($E$2:$E$241,46)</f>
        <v>209.40016</v>
      </c>
      <c r="L47" s="67">
        <f t="shared" si="4"/>
        <v>16</v>
      </c>
      <c r="M47" s="85" t="str">
        <f t="shared" si="3"/>
        <v>PSP 2 Radom</v>
      </c>
      <c r="N47" s="39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7.25" thickTop="1" thickBot="1">
      <c r="B48" t="str">
        <f>wyniki!B61</f>
        <v>Niedziółka Weronika</v>
      </c>
      <c r="C48" s="19">
        <f>wyniki!K61</f>
        <v>204.96</v>
      </c>
      <c r="D48" s="18">
        <v>-4.6999999999999999E-4</v>
      </c>
      <c r="E48" s="19">
        <f t="shared" si="0"/>
        <v>-204.96047000000002</v>
      </c>
      <c r="F48" t="str">
        <f>wyniki!$A$56</f>
        <v>SP11 Siedlce</v>
      </c>
      <c r="G48" s="19">
        <f t="shared" si="1"/>
        <v>-204.96</v>
      </c>
      <c r="J48" s="93" t="str">
        <f t="shared" si="2"/>
        <v>Burkiewicz Amelia</v>
      </c>
      <c r="K48" s="80">
        <f>-LARGE($E$2:$E$241,47)</f>
        <v>210.49019000000001</v>
      </c>
      <c r="L48" s="67">
        <f t="shared" si="4"/>
        <v>19</v>
      </c>
      <c r="M48" s="85" t="str">
        <f t="shared" si="3"/>
        <v>SP2 Ostrów Maz.</v>
      </c>
      <c r="N48" s="39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2:31" ht="17.25" thickTop="1" thickBot="1">
      <c r="B49" t="str">
        <f>wyniki!B62</f>
        <v>Rytel Emilia</v>
      </c>
      <c r="C49" s="19">
        <f>wyniki!K62</f>
        <v>154.54</v>
      </c>
      <c r="D49" s="18">
        <v>-4.8000000000000001E-4</v>
      </c>
      <c r="E49" s="19">
        <f t="shared" si="0"/>
        <v>-154.54048</v>
      </c>
      <c r="F49" t="str">
        <f>wyniki!$A$56</f>
        <v>SP11 Siedlce</v>
      </c>
      <c r="G49" s="19">
        <f t="shared" si="1"/>
        <v>-154.54</v>
      </c>
      <c r="J49" s="93" t="str">
        <f t="shared" si="2"/>
        <v>Borysiuk Gaja</v>
      </c>
      <c r="K49" s="80">
        <f>-LARGE($E$2:$E$241,48)</f>
        <v>212.00062</v>
      </c>
      <c r="L49" s="67">
        <f t="shared" si="4"/>
        <v>62</v>
      </c>
      <c r="M49" s="85" t="str">
        <f t="shared" si="3"/>
        <v>SP3 Piaseczno</v>
      </c>
      <c r="N49" s="39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7.25" thickTop="1" thickBot="1">
      <c r="B50" t="str">
        <f>wyniki!B64</f>
        <v>Bąbiak Gabriela</v>
      </c>
      <c r="C50" s="19">
        <f>wyniki!K64</f>
        <v>201.25</v>
      </c>
      <c r="D50" s="18">
        <v>-4.8999999999999998E-4</v>
      </c>
      <c r="E50" s="19">
        <f t="shared" si="0"/>
        <v>-201.25049000000001</v>
      </c>
      <c r="F50" t="str">
        <f>wyniki!$A$63</f>
        <v>SP Podkowa Leśna</v>
      </c>
      <c r="G50" s="19">
        <f t="shared" si="1"/>
        <v>-201.25</v>
      </c>
      <c r="J50" s="93" t="str">
        <f t="shared" si="2"/>
        <v>Walczak Łucja</v>
      </c>
      <c r="K50" s="80">
        <f>-LARGE($E$2:$E$241,49)</f>
        <v>212.23069999999998</v>
      </c>
      <c r="L50" s="67">
        <f t="shared" si="4"/>
        <v>70</v>
      </c>
      <c r="M50" s="85" t="str">
        <f t="shared" si="3"/>
        <v>ZSP Jedlińsk</v>
      </c>
      <c r="N50" s="39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7.25" thickTop="1" thickBot="1">
      <c r="B51" t="str">
        <f>wyniki!B65</f>
        <v>Hajdenrach Antonina</v>
      </c>
      <c r="C51" s="19">
        <f>wyniki!K65</f>
        <v>208.58</v>
      </c>
      <c r="D51" s="18">
        <v>-5.0000000000000001E-4</v>
      </c>
      <c r="E51" s="19">
        <f t="shared" si="0"/>
        <v>-208.5805</v>
      </c>
      <c r="F51" t="str">
        <f>wyniki!$A$63</f>
        <v>SP Podkowa Leśna</v>
      </c>
      <c r="G51" s="19">
        <f t="shared" si="1"/>
        <v>-208.58</v>
      </c>
      <c r="J51" s="93" t="str">
        <f t="shared" si="2"/>
        <v>Wrzeszcz Anna</v>
      </c>
      <c r="K51" s="80">
        <f>-LARGE($E$2:$E$241,50)</f>
        <v>212.68040999999999</v>
      </c>
      <c r="L51" s="67">
        <f t="shared" si="4"/>
        <v>41</v>
      </c>
      <c r="M51" s="85" t="str">
        <f t="shared" si="3"/>
        <v>SP2 Węgrów</v>
      </c>
      <c r="N51" s="39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7.25" thickTop="1" thickBot="1">
      <c r="B52" t="str">
        <f>wyniki!B66</f>
        <v>Kolenda Zofia</v>
      </c>
      <c r="C52" s="19">
        <f>wyniki!K66</f>
        <v>154.9</v>
      </c>
      <c r="D52" s="18">
        <v>-5.1000000000000004E-4</v>
      </c>
      <c r="E52" s="19">
        <f t="shared" si="0"/>
        <v>-154.90051</v>
      </c>
      <c r="F52" t="str">
        <f>wyniki!$A$63</f>
        <v>SP Podkowa Leśna</v>
      </c>
      <c r="G52" s="19">
        <f t="shared" si="1"/>
        <v>-154.9</v>
      </c>
      <c r="J52" s="93" t="str">
        <f t="shared" si="2"/>
        <v>Piotrowska Iga</v>
      </c>
      <c r="K52" s="80">
        <f>-LARGE($E$2:$E$241,51)</f>
        <v>213.95016999999999</v>
      </c>
      <c r="L52" s="67">
        <f t="shared" si="4"/>
        <v>17</v>
      </c>
      <c r="M52" s="85" t="str">
        <f t="shared" si="3"/>
        <v>PSP 2 Radom</v>
      </c>
      <c r="N52" s="39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7.25" thickTop="1" thickBot="1">
      <c r="B53" t="str">
        <f>wyniki!B67</f>
        <v>Krutkowska Amelia</v>
      </c>
      <c r="C53" s="19">
        <f>wyniki!K67</f>
        <v>204.63</v>
      </c>
      <c r="D53" s="18">
        <v>-5.1999999999999995E-4</v>
      </c>
      <c r="E53" s="19">
        <f t="shared" si="0"/>
        <v>-204.63051999999999</v>
      </c>
      <c r="F53" t="str">
        <f>wyniki!$A$63</f>
        <v>SP Podkowa Leśna</v>
      </c>
      <c r="G53" s="19">
        <f t="shared" si="1"/>
        <v>-204.63</v>
      </c>
      <c r="J53" s="93" t="str">
        <f t="shared" si="2"/>
        <v>Anielska Aleksandra</v>
      </c>
      <c r="K53" s="80">
        <f>-LARGE($E$2:$E$241,52)</f>
        <v>214.06001000000001</v>
      </c>
      <c r="L53" s="67">
        <f t="shared" si="4"/>
        <v>1</v>
      </c>
      <c r="M53" s="85" t="str">
        <f t="shared" si="3"/>
        <v>SP14 Warszawa</v>
      </c>
      <c r="N53" s="39">
        <v>52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7.25" thickTop="1" thickBot="1">
      <c r="B54" t="str">
        <f>wyniki!B68</f>
        <v>Macutkiewicz Wiktoria</v>
      </c>
      <c r="C54" s="19">
        <f>wyniki!K68</f>
        <v>208.4</v>
      </c>
      <c r="D54" s="18">
        <v>-5.2999999999999998E-4</v>
      </c>
      <c r="E54" s="19">
        <f t="shared" si="0"/>
        <v>-208.40053</v>
      </c>
      <c r="F54" t="str">
        <f>wyniki!$A$63</f>
        <v>SP Podkowa Leśna</v>
      </c>
      <c r="G54" s="19">
        <f t="shared" si="1"/>
        <v>-208.4</v>
      </c>
      <c r="J54" s="93" t="str">
        <f t="shared" si="2"/>
        <v>Adamczyk Michalina</v>
      </c>
      <c r="K54" s="80">
        <f>-LARGE($E$2:$E$241,53)</f>
        <v>214.16067000000001</v>
      </c>
      <c r="L54" s="67">
        <f t="shared" si="4"/>
        <v>67</v>
      </c>
      <c r="M54" s="85" t="str">
        <f t="shared" si="3"/>
        <v>ZSP Jedlińsk</v>
      </c>
      <c r="N54" s="39">
        <v>53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7.25" thickTop="1" thickBot="1">
      <c r="B55" t="str">
        <f>wyniki!B69</f>
        <v>Tryzno Alicja</v>
      </c>
      <c r="C55" s="19">
        <f>wyniki!K69</f>
        <v>203.43</v>
      </c>
      <c r="D55" s="18">
        <v>-5.4000000000000001E-4</v>
      </c>
      <c r="E55" s="19">
        <f t="shared" si="0"/>
        <v>-203.43054000000001</v>
      </c>
      <c r="F55" t="str">
        <f>wyniki!$A$63</f>
        <v>SP Podkowa Leśna</v>
      </c>
      <c r="G55" s="19">
        <f t="shared" si="1"/>
        <v>-203.43</v>
      </c>
      <c r="J55" s="93" t="str">
        <f t="shared" si="2"/>
        <v>Dobrowolska Nikola</v>
      </c>
      <c r="K55" s="80">
        <f>-LARGE($E$2:$E$241,54)</f>
        <v>214.80068</v>
      </c>
      <c r="L55" s="67">
        <f t="shared" si="4"/>
        <v>68</v>
      </c>
      <c r="M55" s="85" t="str">
        <f t="shared" si="3"/>
        <v>ZSP Jedlińsk</v>
      </c>
      <c r="N55" s="39">
        <v>54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7.25" thickTop="1" thickBot="1">
      <c r="B56" t="str">
        <f>wyniki!B71</f>
        <v>Brzezińska Kinga</v>
      </c>
      <c r="C56" s="19">
        <f>wyniki!K71</f>
        <v>219.03</v>
      </c>
      <c r="D56" s="18">
        <v>-5.5000000000000003E-4</v>
      </c>
      <c r="E56" s="19">
        <f t="shared" si="0"/>
        <v>-219.03055000000001</v>
      </c>
      <c r="F56" t="str">
        <f>wyniki!$A$70</f>
        <v>ZSP Lesznowola</v>
      </c>
      <c r="G56" s="19">
        <f t="shared" si="1"/>
        <v>-219.03</v>
      </c>
      <c r="J56" s="93" t="str">
        <f t="shared" si="2"/>
        <v>Kąca Alicja</v>
      </c>
      <c r="K56" s="80">
        <f>-LARGE($E$2:$E$241,55)</f>
        <v>215.20014999999998</v>
      </c>
      <c r="L56" s="67">
        <f t="shared" si="4"/>
        <v>15</v>
      </c>
      <c r="M56" s="85" t="str">
        <f t="shared" si="3"/>
        <v>PSP 2 Radom</v>
      </c>
      <c r="N56" s="39">
        <v>55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7.25" thickTop="1" thickBot="1">
      <c r="B57" t="str">
        <f>wyniki!B72</f>
        <v>Marcisz Anna</v>
      </c>
      <c r="C57" s="19">
        <f>wyniki!K72</f>
        <v>218.97</v>
      </c>
      <c r="D57" s="18">
        <v>-5.5999999999999995E-4</v>
      </c>
      <c r="E57" s="19">
        <f t="shared" si="0"/>
        <v>-218.97056000000001</v>
      </c>
      <c r="F57" t="str">
        <f>wyniki!$A$70</f>
        <v>ZSP Lesznowola</v>
      </c>
      <c r="G57" s="19">
        <f t="shared" si="1"/>
        <v>-218.97</v>
      </c>
      <c r="J57" s="93" t="str">
        <f t="shared" si="2"/>
        <v>Szulc Amelia</v>
      </c>
      <c r="K57" s="80">
        <f>-LARGE($E$2:$E$241,56)</f>
        <v>216.92064999999999</v>
      </c>
      <c r="L57" s="67">
        <f t="shared" si="4"/>
        <v>65</v>
      </c>
      <c r="M57" s="85" t="str">
        <f t="shared" si="3"/>
        <v>SP3 Piaseczno</v>
      </c>
      <c r="N57" s="39">
        <v>56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7.25" thickTop="1" thickBot="1">
      <c r="B58" t="str">
        <f>wyniki!B73</f>
        <v>Mariańska Magdalena</v>
      </c>
      <c r="C58" s="19">
        <f>wyniki!K73</f>
        <v>221.05</v>
      </c>
      <c r="D58" s="18">
        <v>-5.6999999999999998E-4</v>
      </c>
      <c r="E58" s="19">
        <f t="shared" si="0"/>
        <v>-221.05057000000002</v>
      </c>
      <c r="F58" t="str">
        <f>wyniki!$A$70</f>
        <v>ZSP Lesznowola</v>
      </c>
      <c r="G58" s="19">
        <f t="shared" si="1"/>
        <v>-221.05</v>
      </c>
      <c r="J58" s="93" t="str">
        <f t="shared" si="2"/>
        <v>Chromińska Maja</v>
      </c>
      <c r="K58" s="80">
        <f>-LARGE($E$2:$E$241,57)</f>
        <v>217.57042999999999</v>
      </c>
      <c r="L58" s="67">
        <f t="shared" si="4"/>
        <v>43</v>
      </c>
      <c r="M58" s="85" t="str">
        <f t="shared" si="3"/>
        <v>SP11 Siedlce</v>
      </c>
      <c r="N58" s="39">
        <v>57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7.25" thickTop="1" thickBot="1">
      <c r="B59" t="str">
        <f>wyniki!B74</f>
        <v>Pazio Zofia</v>
      </c>
      <c r="C59" s="19">
        <f>wyniki!K74</f>
        <v>208.78</v>
      </c>
      <c r="D59" s="18">
        <v>-5.8E-4</v>
      </c>
      <c r="E59" s="19">
        <f t="shared" si="0"/>
        <v>-208.78058000000001</v>
      </c>
      <c r="F59" t="str">
        <f>wyniki!$A$70</f>
        <v>ZSP Lesznowola</v>
      </c>
      <c r="G59" s="19">
        <f t="shared" si="1"/>
        <v>-208.78</v>
      </c>
      <c r="J59" s="93" t="str">
        <f t="shared" si="2"/>
        <v>Fiuk Julia</v>
      </c>
      <c r="K59" s="80">
        <f>-LARGE($E$2:$E$241,58)</f>
        <v>218.03044</v>
      </c>
      <c r="L59" s="67">
        <f t="shared" si="4"/>
        <v>44</v>
      </c>
      <c r="M59" s="85" t="str">
        <f t="shared" si="3"/>
        <v>SP11 Siedlce</v>
      </c>
      <c r="N59" s="39">
        <v>58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2:31" ht="17.25" thickTop="1" thickBot="1">
      <c r="B60" t="str">
        <f>wyniki!B75</f>
        <v>Przepiórka Julia</v>
      </c>
      <c r="C60" s="19">
        <f>wyniki!K75</f>
        <v>226.71</v>
      </c>
      <c r="D60" s="18">
        <v>-5.9000000000000003E-4</v>
      </c>
      <c r="E60" s="19">
        <f t="shared" si="0"/>
        <v>-226.71059</v>
      </c>
      <c r="F60" t="str">
        <f>wyniki!$A$70</f>
        <v>ZSP Lesznowola</v>
      </c>
      <c r="G60" s="19">
        <f t="shared" si="1"/>
        <v>-226.71</v>
      </c>
      <c r="J60" s="93" t="str">
        <f t="shared" si="2"/>
        <v>Kowal Natalia</v>
      </c>
      <c r="K60" s="80">
        <f>-LARGE($E$2:$E$241,59)</f>
        <v>218.80045000000001</v>
      </c>
      <c r="L60" s="67">
        <f t="shared" si="4"/>
        <v>45</v>
      </c>
      <c r="M60" s="85" t="str">
        <f t="shared" si="3"/>
        <v>SP11 Siedlce</v>
      </c>
      <c r="N60" s="39">
        <v>59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7.25" thickTop="1" thickBot="1">
      <c r="B61" t="str">
        <f>wyniki!B76</f>
        <v>Szablewska Lena</v>
      </c>
      <c r="C61" s="19">
        <f>wyniki!K76</f>
        <v>222.07</v>
      </c>
      <c r="D61" s="18">
        <v>-5.9999999999999995E-4</v>
      </c>
      <c r="E61" s="19">
        <f t="shared" si="0"/>
        <v>-222.07059999999998</v>
      </c>
      <c r="F61" t="str">
        <f>wyniki!$A$70</f>
        <v>ZSP Lesznowola</v>
      </c>
      <c r="G61" s="19">
        <f t="shared" si="1"/>
        <v>-222.07</v>
      </c>
      <c r="J61" s="93" t="str">
        <f t="shared" si="2"/>
        <v>Marcisz Anna</v>
      </c>
      <c r="K61" s="80">
        <f>-LARGE($E$2:$E$241,60)</f>
        <v>218.97056000000001</v>
      </c>
      <c r="L61" s="67">
        <f t="shared" si="4"/>
        <v>56</v>
      </c>
      <c r="M61" s="85" t="str">
        <f t="shared" si="3"/>
        <v>ZSP Lesznowola</v>
      </c>
      <c r="N61" s="39">
        <v>60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7.25" thickTop="1" thickBot="1">
      <c r="B62" t="str">
        <f>wyniki!B78</f>
        <v>Bany Monika</v>
      </c>
      <c r="C62" s="19">
        <f>wyniki!K78</f>
        <v>202.89</v>
      </c>
      <c r="D62" s="18">
        <v>-6.0999999999999997E-4</v>
      </c>
      <c r="E62" s="19">
        <f t="shared" si="0"/>
        <v>-202.89060999999998</v>
      </c>
      <c r="F62" t="str">
        <f>wyniki!$A$77</f>
        <v>SP3 Piaseczno</v>
      </c>
      <c r="G62" s="19">
        <f t="shared" si="1"/>
        <v>-202.89</v>
      </c>
      <c r="J62" s="93" t="str">
        <f t="shared" si="2"/>
        <v>Brzezińska Kinga</v>
      </c>
      <c r="K62" s="80">
        <f>-LARGE($E$2:$E$241,61)</f>
        <v>219.03055000000001</v>
      </c>
      <c r="L62" s="67">
        <f t="shared" si="4"/>
        <v>55</v>
      </c>
      <c r="M62" s="85" t="str">
        <f t="shared" si="3"/>
        <v>ZSP Lesznowola</v>
      </c>
      <c r="N62" s="39">
        <v>61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7.25" thickTop="1" thickBot="1">
      <c r="B63" t="str">
        <f>wyniki!B79</f>
        <v>Borysiuk Gaja</v>
      </c>
      <c r="C63" s="19">
        <f>wyniki!K79</f>
        <v>212</v>
      </c>
      <c r="D63" s="18">
        <v>-6.2E-4</v>
      </c>
      <c r="E63" s="19">
        <f t="shared" si="0"/>
        <v>-212.00062</v>
      </c>
      <c r="F63" t="str">
        <f>wyniki!$A$77</f>
        <v>SP3 Piaseczno</v>
      </c>
      <c r="G63" s="19">
        <f t="shared" si="1"/>
        <v>-212</v>
      </c>
      <c r="J63" s="93" t="str">
        <f t="shared" si="2"/>
        <v>Mariańska Magdalena</v>
      </c>
      <c r="K63" s="80">
        <f>-LARGE($E$2:$E$241,62)</f>
        <v>221.05057000000002</v>
      </c>
      <c r="L63" s="67">
        <f t="shared" si="4"/>
        <v>57</v>
      </c>
      <c r="M63" s="85" t="str">
        <f t="shared" si="3"/>
        <v>ZSP Lesznowola</v>
      </c>
      <c r="N63" s="39">
        <v>62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7.25" thickTop="1" thickBot="1">
      <c r="B64" t="str">
        <f>wyniki!B80</f>
        <v>Sołtan Amelia</v>
      </c>
      <c r="C64" s="19">
        <f>wyniki!K80</f>
        <v>223.23</v>
      </c>
      <c r="D64" s="18">
        <v>-6.3000000000000003E-4</v>
      </c>
      <c r="E64" s="19">
        <f t="shared" si="0"/>
        <v>-223.23062999999999</v>
      </c>
      <c r="F64" t="str">
        <f>wyniki!$A$77</f>
        <v>SP3 Piaseczno</v>
      </c>
      <c r="G64" s="19">
        <f t="shared" si="1"/>
        <v>-223.23</v>
      </c>
      <c r="J64" s="93" t="str">
        <f t="shared" si="2"/>
        <v>Szablewska Lena</v>
      </c>
      <c r="K64" s="80">
        <f>-LARGE($E$2:$E$241,63)</f>
        <v>222.07059999999998</v>
      </c>
      <c r="L64" s="67">
        <f t="shared" si="4"/>
        <v>60</v>
      </c>
      <c r="M64" s="85" t="str">
        <f t="shared" si="3"/>
        <v>ZSP Lesznowola</v>
      </c>
      <c r="N64" s="39">
        <v>63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31" ht="17.25" thickTop="1" thickBot="1">
      <c r="B65" t="str">
        <f>wyniki!B81</f>
        <v>Spiechowicz Lidia</v>
      </c>
      <c r="C65" s="19">
        <f>wyniki!K81</f>
        <v>202.83</v>
      </c>
      <c r="D65" s="18">
        <v>-6.4000000000000005E-4</v>
      </c>
      <c r="E65" s="19">
        <f t="shared" si="0"/>
        <v>-202.83064000000002</v>
      </c>
      <c r="F65" t="str">
        <f>wyniki!$A$77</f>
        <v>SP3 Piaseczno</v>
      </c>
      <c r="G65" s="19">
        <f t="shared" si="1"/>
        <v>-202.83</v>
      </c>
      <c r="J65" s="93" t="str">
        <f t="shared" si="2"/>
        <v>Gawor Maria</v>
      </c>
      <c r="K65" s="80">
        <f>-LARGE($E$2:$E$241,64)</f>
        <v>222.59013000000002</v>
      </c>
      <c r="L65" s="67">
        <f t="shared" si="4"/>
        <v>13</v>
      </c>
      <c r="M65" s="85" t="str">
        <f t="shared" si="3"/>
        <v>PSP 2 Radom</v>
      </c>
      <c r="N65" s="39">
        <v>64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7.25" thickTop="1" thickBot="1">
      <c r="B66" t="str">
        <f>wyniki!B82</f>
        <v>Szulc Amelia</v>
      </c>
      <c r="C66" s="19">
        <f>wyniki!K82</f>
        <v>216.92</v>
      </c>
      <c r="D66" s="18">
        <v>-6.4999999999999997E-4</v>
      </c>
      <c r="E66" s="19">
        <f t="shared" si="0"/>
        <v>-216.92064999999999</v>
      </c>
      <c r="F66" t="str">
        <f>wyniki!$A$77</f>
        <v>SP3 Piaseczno</v>
      </c>
      <c r="G66" s="19">
        <f t="shared" si="1"/>
        <v>-216.92</v>
      </c>
      <c r="J66" s="93" t="str">
        <f t="shared" si="2"/>
        <v>Sołtan Amelia</v>
      </c>
      <c r="K66" s="80">
        <f>-LARGE($E$2:$E$241,65)</f>
        <v>223.23062999999999</v>
      </c>
      <c r="L66" s="67">
        <f t="shared" si="4"/>
        <v>63</v>
      </c>
      <c r="M66" s="85" t="str">
        <f t="shared" si="3"/>
        <v>SP3 Piaseczno</v>
      </c>
      <c r="N66" s="39">
        <v>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7.25" thickTop="1" thickBot="1">
      <c r="B67" t="str">
        <f>wyniki!B83</f>
        <v>Wilczyńska Maria</v>
      </c>
      <c r="C67" s="19">
        <f>wyniki!K83</f>
        <v>227.2</v>
      </c>
      <c r="D67" s="18">
        <v>-6.6E-4</v>
      </c>
      <c r="E67" s="19">
        <f t="shared" ref="E67:E130" si="5">IF(C67&gt;1,G67+D67)</f>
        <v>-227.20066</v>
      </c>
      <c r="F67" t="str">
        <f>wyniki!$A$77</f>
        <v>SP3 Piaseczno</v>
      </c>
      <c r="G67" s="19">
        <f t="shared" ref="G67:G130" si="6">-C67</f>
        <v>-227.2</v>
      </c>
      <c r="J67" s="93" t="str">
        <f t="shared" ref="J67:J130" si="7">INDEX($B$2:$E$241,L67,1)</f>
        <v>Mikołajewska Iga</v>
      </c>
      <c r="K67" s="80">
        <f>-LARGE($E$2:$E$241,66)</f>
        <v>223.90039000000002</v>
      </c>
      <c r="L67" s="67">
        <f t="shared" si="4"/>
        <v>39</v>
      </c>
      <c r="M67" s="85" t="str">
        <f t="shared" ref="M67:M130" si="8">INDEX($E$2:$F$241,L67,2)</f>
        <v>SP2 Węgrów</v>
      </c>
      <c r="N67" s="39">
        <v>66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7.25" thickTop="1" thickBot="1">
      <c r="B68" t="str">
        <f>wyniki!B85</f>
        <v>Adamczyk Michalina</v>
      </c>
      <c r="C68" s="19">
        <f>wyniki!K85</f>
        <v>214.16</v>
      </c>
      <c r="D68" s="18">
        <v>-6.7000000000000002E-4</v>
      </c>
      <c r="E68" s="19">
        <f t="shared" si="5"/>
        <v>-214.16067000000001</v>
      </c>
      <c r="F68" t="str">
        <f>wyniki!$A$84</f>
        <v>ZSP Jedlińsk</v>
      </c>
      <c r="G68" s="19">
        <f t="shared" si="6"/>
        <v>-214.16</v>
      </c>
      <c r="J68" s="93" t="str">
        <f t="shared" si="7"/>
        <v>Jakubowska Liliana</v>
      </c>
      <c r="K68" s="80">
        <f>-LARGE($E$2:$E$241,67)</f>
        <v>224.07013999999998</v>
      </c>
      <c r="L68" s="67">
        <f t="shared" ref="L68:L131" si="9">MATCH(-K68,$E$2:$E$241,0)</f>
        <v>14</v>
      </c>
      <c r="M68" s="85" t="str">
        <f t="shared" si="8"/>
        <v>PSP 2 Radom</v>
      </c>
      <c r="N68" s="39">
        <v>67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7.25" thickTop="1" thickBot="1">
      <c r="B69" t="str">
        <f>wyniki!B86</f>
        <v>Dobrowolska Nikola</v>
      </c>
      <c r="C69" s="19">
        <f>wyniki!K86</f>
        <v>214.8</v>
      </c>
      <c r="D69" s="18">
        <v>-6.8000000000000005E-4</v>
      </c>
      <c r="E69" s="19">
        <f t="shared" si="5"/>
        <v>-214.80068</v>
      </c>
      <c r="F69" t="str">
        <f>wyniki!$A$84</f>
        <v>ZSP Jedlińsk</v>
      </c>
      <c r="G69" s="19">
        <f t="shared" si="6"/>
        <v>-214.8</v>
      </c>
      <c r="J69" s="93" t="str">
        <f t="shared" si="7"/>
        <v>Glegoła Paulia</v>
      </c>
      <c r="K69" s="80">
        <f>-LARGE($E$2:$E$241,68)</f>
        <v>226.06003000000001</v>
      </c>
      <c r="L69" s="67">
        <f t="shared" si="9"/>
        <v>3</v>
      </c>
      <c r="M69" s="85" t="str">
        <f t="shared" si="8"/>
        <v>SP14 Warszawa</v>
      </c>
      <c r="N69" s="39">
        <v>68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7.25" thickTop="1" thickBot="1">
      <c r="B70" t="str">
        <f>wyniki!B87</f>
        <v>Gryz Amelia</v>
      </c>
      <c r="C70" s="19">
        <f>wyniki!K87</f>
        <v>208.2</v>
      </c>
      <c r="D70" s="18">
        <v>-6.8999999999999997E-4</v>
      </c>
      <c r="E70" s="19">
        <f t="shared" si="5"/>
        <v>-208.20068999999998</v>
      </c>
      <c r="F70" t="str">
        <f>wyniki!$A$84</f>
        <v>ZSP Jedlińsk</v>
      </c>
      <c r="G70" s="19">
        <f t="shared" si="6"/>
        <v>-208.2</v>
      </c>
      <c r="J70" s="93" t="str">
        <f t="shared" si="7"/>
        <v>Przepiórka Julia</v>
      </c>
      <c r="K70" s="80">
        <f>-LARGE($E$2:$E$241,69)</f>
        <v>226.71059</v>
      </c>
      <c r="L70" s="67">
        <f t="shared" si="9"/>
        <v>59</v>
      </c>
      <c r="M70" s="85" t="str">
        <f t="shared" si="8"/>
        <v>ZSP Lesznowola</v>
      </c>
      <c r="N70" s="39">
        <v>69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7.25" thickTop="1" thickBot="1">
      <c r="B71" t="str">
        <f>wyniki!B88</f>
        <v>Walczak Łucja</v>
      </c>
      <c r="C71" s="19">
        <f>wyniki!K88</f>
        <v>212.23</v>
      </c>
      <c r="D71" s="18">
        <v>-6.9999999999999999E-4</v>
      </c>
      <c r="E71" s="19">
        <f t="shared" si="5"/>
        <v>-212.23069999999998</v>
      </c>
      <c r="F71" t="str">
        <f>wyniki!$A$84</f>
        <v>ZSP Jedlińsk</v>
      </c>
      <c r="G71" s="19">
        <f t="shared" si="6"/>
        <v>-212.23</v>
      </c>
      <c r="J71" s="93" t="str">
        <f t="shared" si="7"/>
        <v>Wilczyńska Maria</v>
      </c>
      <c r="K71" s="80">
        <f>-LARGE($E$2:$E$241,70)</f>
        <v>227.20066</v>
      </c>
      <c r="L71" s="67">
        <f t="shared" si="9"/>
        <v>66</v>
      </c>
      <c r="M71" s="85" t="str">
        <f t="shared" si="8"/>
        <v>SP3 Piaseczno</v>
      </c>
      <c r="N71" s="39">
        <v>70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7.25" thickTop="1" thickBot="1">
      <c r="B72" t="str">
        <f>wyniki!B89</f>
        <v>Żaczek Maja</v>
      </c>
      <c r="C72" s="19">
        <f>wyniki!K89</f>
        <v>208.79</v>
      </c>
      <c r="D72" s="18">
        <v>-7.1000000000000002E-4</v>
      </c>
      <c r="E72" s="19">
        <f t="shared" si="5"/>
        <v>-208.79070999999999</v>
      </c>
      <c r="F72" t="str">
        <f>wyniki!$A$84</f>
        <v>ZSP Jedlińsk</v>
      </c>
      <c r="G72" s="19">
        <f t="shared" si="6"/>
        <v>-208.79</v>
      </c>
      <c r="J72" s="93" t="str">
        <f t="shared" si="7"/>
        <v>Wojsz Paulina</v>
      </c>
      <c r="K72" s="80">
        <f>-LARGE($E$2:$E$241,71)</f>
        <v>229.78022999999999</v>
      </c>
      <c r="L72" s="67">
        <f t="shared" si="9"/>
        <v>23</v>
      </c>
      <c r="M72" s="85" t="str">
        <f t="shared" si="8"/>
        <v>SP2 Ostrów Maz.</v>
      </c>
      <c r="N72" s="39">
        <v>71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7.25" thickTop="1" thickBot="1">
      <c r="B73" t="str">
        <f>wyniki!B90</f>
        <v>Żaczek Nikola</v>
      </c>
      <c r="C73" s="19">
        <f>wyniki!K90</f>
        <v>155.97</v>
      </c>
      <c r="D73" s="18">
        <v>-7.2000000000000005E-4</v>
      </c>
      <c r="E73" s="19">
        <f t="shared" si="5"/>
        <v>-155.97072</v>
      </c>
      <c r="F73" t="str">
        <f>wyniki!$A$84</f>
        <v>ZSP Jedlińsk</v>
      </c>
      <c r="G73" s="19">
        <f t="shared" si="6"/>
        <v>-155.97</v>
      </c>
      <c r="J73" s="93" t="str">
        <f t="shared" si="7"/>
        <v>Tyczyńska Lena</v>
      </c>
      <c r="K73" s="80">
        <f>-LARGE($E$2:$E$241,72)</f>
        <v>239.51017999999999</v>
      </c>
      <c r="L73" s="67">
        <f t="shared" si="9"/>
        <v>18</v>
      </c>
      <c r="M73" s="85" t="str">
        <f t="shared" si="8"/>
        <v>PSP 2 Radom</v>
      </c>
      <c r="N73" s="39">
        <v>72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7.25" thickTop="1" thickBot="1">
      <c r="B74">
        <f>wyniki!B92</f>
        <v>0</v>
      </c>
      <c r="C74" s="19">
        <f>wyniki!K92</f>
        <v>0</v>
      </c>
      <c r="D74" s="18">
        <v>-7.2999999999999996E-4</v>
      </c>
      <c r="E74" s="19" t="b">
        <f t="shared" si="5"/>
        <v>0</v>
      </c>
      <c r="F74">
        <f>wyniki!$A$91</f>
        <v>0</v>
      </c>
      <c r="G74" s="19">
        <f t="shared" si="6"/>
        <v>0</v>
      </c>
      <c r="J74" s="93" t="e">
        <f t="shared" si="7"/>
        <v>#NUM!</v>
      </c>
      <c r="K74" s="80" t="e">
        <f>-LARGE($E$2:$E$241,73)</f>
        <v>#NUM!</v>
      </c>
      <c r="L74" s="67" t="e">
        <f t="shared" si="9"/>
        <v>#NUM!</v>
      </c>
      <c r="M74" s="85" t="e">
        <f t="shared" si="8"/>
        <v>#NUM!</v>
      </c>
      <c r="N74" s="39">
        <v>73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7.25" thickTop="1" thickBot="1">
      <c r="B75">
        <f>wyniki!B93</f>
        <v>0</v>
      </c>
      <c r="C75" s="19">
        <f>wyniki!K93</f>
        <v>0</v>
      </c>
      <c r="D75" s="18">
        <v>-7.3999999999999999E-4</v>
      </c>
      <c r="E75" s="19" t="b">
        <f t="shared" si="5"/>
        <v>0</v>
      </c>
      <c r="F75">
        <f>wyniki!$A$91</f>
        <v>0</v>
      </c>
      <c r="G75" s="19">
        <f t="shared" si="6"/>
        <v>0</v>
      </c>
      <c r="J75" s="93" t="e">
        <f t="shared" si="7"/>
        <v>#NUM!</v>
      </c>
      <c r="K75" s="80" t="e">
        <f>-LARGE($E$2:$E$241,74)</f>
        <v>#NUM!</v>
      </c>
      <c r="L75" s="67" t="e">
        <f t="shared" si="9"/>
        <v>#NUM!</v>
      </c>
      <c r="M75" s="85" t="e">
        <f t="shared" si="8"/>
        <v>#NUM!</v>
      </c>
      <c r="N75" s="39">
        <v>74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7.25" thickTop="1" thickBot="1">
      <c r="B76">
        <f>wyniki!B94</f>
        <v>0</v>
      </c>
      <c r="C76" s="19">
        <f>wyniki!K94</f>
        <v>0</v>
      </c>
      <c r="D76" s="18">
        <v>-7.5000000000000002E-4</v>
      </c>
      <c r="E76" s="19" t="b">
        <f t="shared" si="5"/>
        <v>0</v>
      </c>
      <c r="F76">
        <f>wyniki!$A$91</f>
        <v>0</v>
      </c>
      <c r="G76" s="19">
        <f t="shared" si="6"/>
        <v>0</v>
      </c>
      <c r="J76" s="93" t="e">
        <f t="shared" si="7"/>
        <v>#NUM!</v>
      </c>
      <c r="K76" s="80" t="e">
        <f>-LARGE($E$2:$E$241,75)</f>
        <v>#NUM!</v>
      </c>
      <c r="L76" s="67" t="e">
        <f t="shared" si="9"/>
        <v>#NUM!</v>
      </c>
      <c r="M76" s="85" t="e">
        <f t="shared" si="8"/>
        <v>#NUM!</v>
      </c>
      <c r="N76" s="39">
        <v>75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7.25" thickTop="1" thickBot="1">
      <c r="B77">
        <f>wyniki!B95</f>
        <v>0</v>
      </c>
      <c r="C77" s="19">
        <f>wyniki!K95</f>
        <v>0</v>
      </c>
      <c r="D77" s="18">
        <v>-7.6000000000000004E-4</v>
      </c>
      <c r="E77" s="19" t="b">
        <f t="shared" si="5"/>
        <v>0</v>
      </c>
      <c r="F77">
        <f>wyniki!$A$91</f>
        <v>0</v>
      </c>
      <c r="G77" s="19">
        <f t="shared" si="6"/>
        <v>0</v>
      </c>
      <c r="J77" s="93" t="e">
        <f t="shared" si="7"/>
        <v>#NUM!</v>
      </c>
      <c r="K77" s="80" t="e">
        <f>-LARGE($E$2:$E$241,76)</f>
        <v>#NUM!</v>
      </c>
      <c r="L77" s="67" t="e">
        <f t="shared" si="9"/>
        <v>#NUM!</v>
      </c>
      <c r="M77" s="85" t="e">
        <f t="shared" si="8"/>
        <v>#NUM!</v>
      </c>
      <c r="N77" s="39">
        <v>76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7.25" thickTop="1" thickBot="1">
      <c r="B78">
        <f>wyniki!B96</f>
        <v>0</v>
      </c>
      <c r="C78" s="19">
        <f>wyniki!K96</f>
        <v>0</v>
      </c>
      <c r="D78" s="18">
        <v>-7.6999999999999996E-4</v>
      </c>
      <c r="E78" s="19" t="b">
        <f t="shared" si="5"/>
        <v>0</v>
      </c>
      <c r="F78">
        <f>wyniki!$A$91</f>
        <v>0</v>
      </c>
      <c r="G78" s="19">
        <f t="shared" si="6"/>
        <v>0</v>
      </c>
      <c r="J78" s="93" t="e">
        <f t="shared" si="7"/>
        <v>#NUM!</v>
      </c>
      <c r="K78" s="80" t="e">
        <f>-LARGE($E$2:$E$241,77)</f>
        <v>#NUM!</v>
      </c>
      <c r="L78" s="67" t="e">
        <f t="shared" si="9"/>
        <v>#NUM!</v>
      </c>
      <c r="M78" s="85" t="e">
        <f t="shared" si="8"/>
        <v>#NUM!</v>
      </c>
      <c r="N78" s="39">
        <v>77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7.25" thickTop="1" thickBot="1">
      <c r="B79">
        <f>wyniki!B97</f>
        <v>0</v>
      </c>
      <c r="C79" s="19">
        <f>wyniki!K97</f>
        <v>0</v>
      </c>
      <c r="D79" s="18">
        <v>-7.7999999999999999E-4</v>
      </c>
      <c r="E79" s="19" t="b">
        <f t="shared" si="5"/>
        <v>0</v>
      </c>
      <c r="F79">
        <f>wyniki!$A$91</f>
        <v>0</v>
      </c>
      <c r="G79" s="19">
        <f t="shared" si="6"/>
        <v>0</v>
      </c>
      <c r="J79" s="93" t="e">
        <f t="shared" si="7"/>
        <v>#NUM!</v>
      </c>
      <c r="K79" s="80" t="e">
        <f>-LARGE($E$2:$E$241,78)</f>
        <v>#NUM!</v>
      </c>
      <c r="L79" s="67" t="e">
        <f t="shared" si="9"/>
        <v>#NUM!</v>
      </c>
      <c r="M79" s="85" t="e">
        <f t="shared" si="8"/>
        <v>#NUM!</v>
      </c>
      <c r="N79" s="39">
        <v>78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7.25" thickTop="1" thickBot="1">
      <c r="B80">
        <f>wyniki!B99</f>
        <v>0</v>
      </c>
      <c r="C80" s="19">
        <f>wyniki!K99</f>
        <v>0</v>
      </c>
      <c r="D80" s="18">
        <v>-7.9000000000000001E-4</v>
      </c>
      <c r="E80" s="19" t="b">
        <f t="shared" si="5"/>
        <v>0</v>
      </c>
      <c r="F80">
        <f>wyniki!$A$98</f>
        <v>0</v>
      </c>
      <c r="G80" s="19">
        <f t="shared" si="6"/>
        <v>0</v>
      </c>
      <c r="J80" s="93" t="e">
        <f t="shared" si="7"/>
        <v>#NUM!</v>
      </c>
      <c r="K80" s="80" t="e">
        <f>-LARGE($E$2:$E$241,79)</f>
        <v>#NUM!</v>
      </c>
      <c r="L80" s="67" t="e">
        <f t="shared" si="9"/>
        <v>#NUM!</v>
      </c>
      <c r="M80" s="85" t="e">
        <f t="shared" si="8"/>
        <v>#NUM!</v>
      </c>
      <c r="N80" s="39">
        <v>79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7.25" thickTop="1" thickBot="1">
      <c r="B81">
        <f>wyniki!B100</f>
        <v>0</v>
      </c>
      <c r="C81" s="19">
        <f>wyniki!K100</f>
        <v>0</v>
      </c>
      <c r="D81" s="18">
        <v>-8.0000000000000004E-4</v>
      </c>
      <c r="E81" s="19" t="b">
        <f t="shared" si="5"/>
        <v>0</v>
      </c>
      <c r="F81">
        <f>wyniki!$A$98</f>
        <v>0</v>
      </c>
      <c r="G81" s="19">
        <f t="shared" si="6"/>
        <v>0</v>
      </c>
      <c r="J81" s="93" t="e">
        <f t="shared" si="7"/>
        <v>#NUM!</v>
      </c>
      <c r="K81" s="80" t="e">
        <f>-LARGE($E$2:$E$241,80)</f>
        <v>#NUM!</v>
      </c>
      <c r="L81" s="67" t="e">
        <f t="shared" si="9"/>
        <v>#NUM!</v>
      </c>
      <c r="M81" s="85" t="e">
        <f t="shared" si="8"/>
        <v>#NUM!</v>
      </c>
      <c r="N81" s="39">
        <v>80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7.25" thickTop="1" thickBot="1">
      <c r="B82">
        <f>wyniki!B101</f>
        <v>0</v>
      </c>
      <c r="C82" s="19">
        <f>wyniki!K101</f>
        <v>0</v>
      </c>
      <c r="D82" s="18">
        <v>-8.0999999999999996E-4</v>
      </c>
      <c r="E82" s="19" t="b">
        <f t="shared" si="5"/>
        <v>0</v>
      </c>
      <c r="F82">
        <f>wyniki!$A$98</f>
        <v>0</v>
      </c>
      <c r="G82" s="19">
        <f t="shared" si="6"/>
        <v>0</v>
      </c>
      <c r="J82" s="93" t="e">
        <f t="shared" si="7"/>
        <v>#NUM!</v>
      </c>
      <c r="K82" s="80" t="e">
        <f>-LARGE($E$2:$E$241,81)</f>
        <v>#NUM!</v>
      </c>
      <c r="L82" s="67" t="e">
        <f t="shared" si="9"/>
        <v>#NUM!</v>
      </c>
      <c r="M82" s="85" t="e">
        <f t="shared" si="8"/>
        <v>#NUM!</v>
      </c>
      <c r="N82" s="39">
        <v>81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7.25" thickTop="1" thickBot="1">
      <c r="B83">
        <f>wyniki!B102</f>
        <v>0</v>
      </c>
      <c r="C83" s="19">
        <f>wyniki!K102</f>
        <v>0</v>
      </c>
      <c r="D83" s="18">
        <v>-8.1999999999999998E-4</v>
      </c>
      <c r="E83" s="19" t="b">
        <f t="shared" si="5"/>
        <v>0</v>
      </c>
      <c r="F83">
        <f>wyniki!$A$98</f>
        <v>0</v>
      </c>
      <c r="G83" s="19">
        <f t="shared" si="6"/>
        <v>0</v>
      </c>
      <c r="J83" s="93" t="e">
        <f t="shared" si="7"/>
        <v>#NUM!</v>
      </c>
      <c r="K83" s="80" t="e">
        <f>-LARGE($E$2:$E$241,82)</f>
        <v>#NUM!</v>
      </c>
      <c r="L83" s="67" t="e">
        <f t="shared" si="9"/>
        <v>#NUM!</v>
      </c>
      <c r="M83" s="85" t="e">
        <f t="shared" si="8"/>
        <v>#NUM!</v>
      </c>
      <c r="N83" s="39">
        <v>82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7.25" thickTop="1" thickBot="1">
      <c r="B84">
        <f>wyniki!B103</f>
        <v>0</v>
      </c>
      <c r="C84" s="19">
        <f>wyniki!K103</f>
        <v>0</v>
      </c>
      <c r="D84" s="18">
        <v>-8.3000000000000001E-4</v>
      </c>
      <c r="E84" s="19" t="b">
        <f t="shared" si="5"/>
        <v>0</v>
      </c>
      <c r="F84">
        <f>wyniki!$A$98</f>
        <v>0</v>
      </c>
      <c r="G84" s="19">
        <f t="shared" si="6"/>
        <v>0</v>
      </c>
      <c r="J84" s="93" t="e">
        <f t="shared" si="7"/>
        <v>#NUM!</v>
      </c>
      <c r="K84" s="80" t="e">
        <f>-LARGE($E$2:$E$241,83)</f>
        <v>#NUM!</v>
      </c>
      <c r="L84" s="67" t="e">
        <f t="shared" si="9"/>
        <v>#NUM!</v>
      </c>
      <c r="M84" s="85" t="e">
        <f t="shared" si="8"/>
        <v>#NUM!</v>
      </c>
      <c r="N84" s="39">
        <v>83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2:31" ht="17.25" thickTop="1" thickBot="1">
      <c r="B85">
        <f>wyniki!B104</f>
        <v>0</v>
      </c>
      <c r="C85" s="19">
        <f>wyniki!K104</f>
        <v>0</v>
      </c>
      <c r="D85" s="18">
        <v>-8.4000000000000003E-4</v>
      </c>
      <c r="E85" s="19" t="b">
        <f t="shared" si="5"/>
        <v>0</v>
      </c>
      <c r="F85">
        <f>wyniki!$A$98</f>
        <v>0</v>
      </c>
      <c r="G85" s="19">
        <f t="shared" si="6"/>
        <v>0</v>
      </c>
      <c r="J85" s="93" t="e">
        <f t="shared" si="7"/>
        <v>#NUM!</v>
      </c>
      <c r="K85" s="80" t="e">
        <f>-LARGE($E$2:$E$241,84)</f>
        <v>#NUM!</v>
      </c>
      <c r="L85" s="67" t="e">
        <f t="shared" si="9"/>
        <v>#NUM!</v>
      </c>
      <c r="M85" s="85" t="e">
        <f t="shared" si="8"/>
        <v>#NUM!</v>
      </c>
      <c r="N85" s="39">
        <v>84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2:31" ht="17.25" thickTop="1" thickBot="1">
      <c r="B86">
        <f>wyniki!B106</f>
        <v>0</v>
      </c>
      <c r="C86" s="19">
        <f>wyniki!K106</f>
        <v>0</v>
      </c>
      <c r="D86" s="18">
        <v>-8.4999999999999995E-4</v>
      </c>
      <c r="E86" s="19" t="b">
        <f t="shared" si="5"/>
        <v>0</v>
      </c>
      <c r="F86">
        <f>wyniki!$A$105</f>
        <v>0</v>
      </c>
      <c r="G86" s="19">
        <f t="shared" si="6"/>
        <v>0</v>
      </c>
      <c r="J86" s="93" t="e">
        <f t="shared" si="7"/>
        <v>#NUM!</v>
      </c>
      <c r="K86" s="80" t="e">
        <f>-LARGE($E$2:$E$241,85)</f>
        <v>#NUM!</v>
      </c>
      <c r="L86" s="67" t="e">
        <f t="shared" si="9"/>
        <v>#NUM!</v>
      </c>
      <c r="M86" s="85" t="e">
        <f t="shared" si="8"/>
        <v>#NUM!</v>
      </c>
      <c r="N86" s="39">
        <v>85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2:31" ht="17.25" thickTop="1" thickBot="1">
      <c r="B87">
        <f>wyniki!B107</f>
        <v>0</v>
      </c>
      <c r="C87" s="19">
        <f>wyniki!K107</f>
        <v>0</v>
      </c>
      <c r="D87" s="18">
        <v>-8.5999999999999998E-4</v>
      </c>
      <c r="E87" s="19" t="b">
        <f t="shared" si="5"/>
        <v>0</v>
      </c>
      <c r="F87">
        <f>wyniki!$A$105</f>
        <v>0</v>
      </c>
      <c r="G87" s="19">
        <f t="shared" si="6"/>
        <v>0</v>
      </c>
      <c r="J87" s="93" t="e">
        <f t="shared" si="7"/>
        <v>#NUM!</v>
      </c>
      <c r="K87" s="80" t="e">
        <f>-LARGE($E$2:$E$241,86)</f>
        <v>#NUM!</v>
      </c>
      <c r="L87" s="67" t="e">
        <f t="shared" si="9"/>
        <v>#NUM!</v>
      </c>
      <c r="M87" s="85" t="e">
        <f t="shared" si="8"/>
        <v>#NUM!</v>
      </c>
      <c r="N87" s="39">
        <v>86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2:31" ht="17.25" thickTop="1" thickBot="1">
      <c r="B88">
        <f>wyniki!B108</f>
        <v>0</v>
      </c>
      <c r="C88" s="19">
        <f>wyniki!K108</f>
        <v>0</v>
      </c>
      <c r="D88" s="18">
        <v>-8.7000000000000001E-4</v>
      </c>
      <c r="E88" s="19" t="b">
        <f t="shared" si="5"/>
        <v>0</v>
      </c>
      <c r="F88">
        <f>wyniki!$A$105</f>
        <v>0</v>
      </c>
      <c r="G88" s="19">
        <f t="shared" si="6"/>
        <v>0</v>
      </c>
      <c r="J88" s="93" t="e">
        <f t="shared" si="7"/>
        <v>#NUM!</v>
      </c>
      <c r="K88" s="80" t="e">
        <f>-LARGE($E$2:$E$241,87)</f>
        <v>#NUM!</v>
      </c>
      <c r="L88" s="67" t="e">
        <f t="shared" si="9"/>
        <v>#NUM!</v>
      </c>
      <c r="M88" s="85" t="e">
        <f t="shared" si="8"/>
        <v>#NUM!</v>
      </c>
      <c r="N88" s="39">
        <v>87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2:31" ht="17.25" thickTop="1" thickBot="1">
      <c r="B89">
        <f>wyniki!B109</f>
        <v>0</v>
      </c>
      <c r="C89" s="19">
        <f>wyniki!K109</f>
        <v>0</v>
      </c>
      <c r="D89" s="18">
        <v>-8.8000000000000003E-4</v>
      </c>
      <c r="E89" s="19" t="b">
        <f t="shared" si="5"/>
        <v>0</v>
      </c>
      <c r="F89">
        <f>wyniki!$A$105</f>
        <v>0</v>
      </c>
      <c r="G89" s="19">
        <f t="shared" si="6"/>
        <v>0</v>
      </c>
      <c r="J89" s="93" t="e">
        <f t="shared" si="7"/>
        <v>#NUM!</v>
      </c>
      <c r="K89" s="80" t="e">
        <f>-LARGE($E$2:$E$241,88)</f>
        <v>#NUM!</v>
      </c>
      <c r="L89" s="67" t="e">
        <f t="shared" si="9"/>
        <v>#NUM!</v>
      </c>
      <c r="M89" s="85" t="e">
        <f t="shared" si="8"/>
        <v>#NUM!</v>
      </c>
      <c r="N89" s="39">
        <v>88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2:31" ht="17.25" thickTop="1" thickBot="1">
      <c r="B90">
        <f>wyniki!B110</f>
        <v>0</v>
      </c>
      <c r="C90" s="19">
        <f>wyniki!K110</f>
        <v>0</v>
      </c>
      <c r="D90" s="18">
        <v>-8.8999999999999995E-4</v>
      </c>
      <c r="E90" s="19" t="b">
        <f t="shared" si="5"/>
        <v>0</v>
      </c>
      <c r="F90">
        <f>wyniki!$A$105</f>
        <v>0</v>
      </c>
      <c r="G90" s="19">
        <f t="shared" si="6"/>
        <v>0</v>
      </c>
      <c r="J90" s="93" t="e">
        <f t="shared" si="7"/>
        <v>#NUM!</v>
      </c>
      <c r="K90" s="80" t="e">
        <f>-LARGE($E$2:$E$241,89)</f>
        <v>#NUM!</v>
      </c>
      <c r="L90" s="67" t="e">
        <f t="shared" si="9"/>
        <v>#NUM!</v>
      </c>
      <c r="M90" s="85" t="e">
        <f t="shared" si="8"/>
        <v>#NUM!</v>
      </c>
      <c r="N90" s="39">
        <v>89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2:31" ht="17.25" thickTop="1" thickBot="1">
      <c r="B91">
        <f>wyniki!B111</f>
        <v>0</v>
      </c>
      <c r="C91" s="19">
        <f>wyniki!K111</f>
        <v>0</v>
      </c>
      <c r="D91" s="18">
        <v>-8.9999999999999998E-4</v>
      </c>
      <c r="E91" s="19" t="b">
        <f t="shared" si="5"/>
        <v>0</v>
      </c>
      <c r="F91">
        <f>wyniki!$A$105</f>
        <v>0</v>
      </c>
      <c r="G91" s="19">
        <f t="shared" si="6"/>
        <v>0</v>
      </c>
      <c r="J91" s="93" t="e">
        <f t="shared" si="7"/>
        <v>#NUM!</v>
      </c>
      <c r="K91" s="80" t="e">
        <f>-LARGE($E$2:$E$241,90)</f>
        <v>#NUM!</v>
      </c>
      <c r="L91" s="67" t="e">
        <f t="shared" si="9"/>
        <v>#NUM!</v>
      </c>
      <c r="M91" s="85" t="e">
        <f t="shared" si="8"/>
        <v>#NUM!</v>
      </c>
      <c r="N91" s="39">
        <v>90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2:31" ht="17.25" thickTop="1" thickBot="1">
      <c r="B92">
        <f>wyniki!B113</f>
        <v>0</v>
      </c>
      <c r="C92" s="19">
        <f>wyniki!K113</f>
        <v>0</v>
      </c>
      <c r="D92" s="18">
        <v>-9.1E-4</v>
      </c>
      <c r="E92" s="19" t="b">
        <f t="shared" si="5"/>
        <v>0</v>
      </c>
      <c r="F92">
        <f>wyniki!$A$112</f>
        <v>0</v>
      </c>
      <c r="G92" s="19">
        <f t="shared" si="6"/>
        <v>0</v>
      </c>
      <c r="J92" s="93" t="e">
        <f t="shared" si="7"/>
        <v>#NUM!</v>
      </c>
      <c r="K92" s="80" t="e">
        <f>-LARGE($E$2:$E$241,91)</f>
        <v>#NUM!</v>
      </c>
      <c r="L92" s="67" t="e">
        <f t="shared" si="9"/>
        <v>#NUM!</v>
      </c>
      <c r="M92" s="85" t="e">
        <f t="shared" si="8"/>
        <v>#NUM!</v>
      </c>
      <c r="N92" s="39">
        <v>91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2:31" ht="17.25" thickTop="1" thickBot="1">
      <c r="B93">
        <f>wyniki!B114</f>
        <v>0</v>
      </c>
      <c r="C93" s="19">
        <f>wyniki!K114</f>
        <v>0</v>
      </c>
      <c r="D93" s="18">
        <v>-9.2000000000000003E-4</v>
      </c>
      <c r="E93" s="19" t="b">
        <f t="shared" si="5"/>
        <v>0</v>
      </c>
      <c r="F93">
        <f>wyniki!$A$112</f>
        <v>0</v>
      </c>
      <c r="G93" s="19">
        <f t="shared" si="6"/>
        <v>0</v>
      </c>
      <c r="J93" s="93" t="e">
        <f t="shared" si="7"/>
        <v>#NUM!</v>
      </c>
      <c r="K93" s="80" t="e">
        <f>-LARGE($E$2:$E$241,92)</f>
        <v>#NUM!</v>
      </c>
      <c r="L93" s="67" t="e">
        <f t="shared" si="9"/>
        <v>#NUM!</v>
      </c>
      <c r="M93" s="85" t="e">
        <f t="shared" si="8"/>
        <v>#NUM!</v>
      </c>
      <c r="N93" s="39">
        <v>92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2:31" ht="17.25" thickTop="1" thickBot="1">
      <c r="B94">
        <f>wyniki!B115</f>
        <v>0</v>
      </c>
      <c r="C94" s="19">
        <f>wyniki!K115</f>
        <v>0</v>
      </c>
      <c r="D94" s="18">
        <v>-9.3000000000000005E-4</v>
      </c>
      <c r="E94" s="19" t="b">
        <f t="shared" si="5"/>
        <v>0</v>
      </c>
      <c r="F94">
        <f>wyniki!$A$112</f>
        <v>0</v>
      </c>
      <c r="G94" s="19">
        <f t="shared" si="6"/>
        <v>0</v>
      </c>
      <c r="J94" s="93" t="e">
        <f t="shared" si="7"/>
        <v>#NUM!</v>
      </c>
      <c r="K94" s="80" t="e">
        <f>-LARGE($E$2:$E$241,93)</f>
        <v>#NUM!</v>
      </c>
      <c r="L94" s="67" t="e">
        <f t="shared" si="9"/>
        <v>#NUM!</v>
      </c>
      <c r="M94" s="85" t="e">
        <f t="shared" si="8"/>
        <v>#NUM!</v>
      </c>
      <c r="N94" s="39">
        <v>93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2:31" ht="17.25" thickTop="1" thickBot="1">
      <c r="B95">
        <f>wyniki!B116</f>
        <v>0</v>
      </c>
      <c r="C95" s="19">
        <f>wyniki!K116</f>
        <v>0</v>
      </c>
      <c r="D95" s="18">
        <v>-9.3999999999999997E-4</v>
      </c>
      <c r="E95" s="19" t="b">
        <f t="shared" si="5"/>
        <v>0</v>
      </c>
      <c r="F95">
        <f>wyniki!$A$112</f>
        <v>0</v>
      </c>
      <c r="G95" s="19">
        <f t="shared" si="6"/>
        <v>0</v>
      </c>
      <c r="J95" s="93" t="e">
        <f t="shared" si="7"/>
        <v>#NUM!</v>
      </c>
      <c r="K95" s="80" t="e">
        <f>-LARGE($E$2:$E$241,94)</f>
        <v>#NUM!</v>
      </c>
      <c r="L95" s="67" t="e">
        <f t="shared" si="9"/>
        <v>#NUM!</v>
      </c>
      <c r="M95" s="85" t="e">
        <f t="shared" si="8"/>
        <v>#NUM!</v>
      </c>
      <c r="N95" s="39">
        <v>94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2:31" ht="17.25" thickTop="1" thickBot="1">
      <c r="B96">
        <f>wyniki!B117</f>
        <v>0</v>
      </c>
      <c r="C96" s="19">
        <f>wyniki!K117</f>
        <v>0</v>
      </c>
      <c r="D96" s="18">
        <v>-9.5E-4</v>
      </c>
      <c r="E96" s="19" t="b">
        <f t="shared" si="5"/>
        <v>0</v>
      </c>
      <c r="F96">
        <f>wyniki!$A$112</f>
        <v>0</v>
      </c>
      <c r="G96" s="19">
        <f t="shared" si="6"/>
        <v>0</v>
      </c>
      <c r="J96" s="93" t="e">
        <f t="shared" si="7"/>
        <v>#NUM!</v>
      </c>
      <c r="K96" s="80" t="e">
        <f>-LARGE($E$2:$E$241,95)</f>
        <v>#NUM!</v>
      </c>
      <c r="L96" s="67" t="e">
        <f t="shared" si="9"/>
        <v>#NUM!</v>
      </c>
      <c r="M96" s="85" t="e">
        <f t="shared" si="8"/>
        <v>#NUM!</v>
      </c>
      <c r="N96" s="39">
        <v>95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2:31" ht="17.25" thickTop="1" thickBot="1">
      <c r="B97">
        <f>wyniki!B118</f>
        <v>0</v>
      </c>
      <c r="C97" s="19">
        <f>wyniki!K118</f>
        <v>0</v>
      </c>
      <c r="D97" s="18">
        <v>-9.6000000000000002E-4</v>
      </c>
      <c r="E97" s="19" t="b">
        <f t="shared" si="5"/>
        <v>0</v>
      </c>
      <c r="F97">
        <f>wyniki!$A$112</f>
        <v>0</v>
      </c>
      <c r="G97" s="19">
        <f t="shared" si="6"/>
        <v>0</v>
      </c>
      <c r="J97" s="93" t="e">
        <f t="shared" si="7"/>
        <v>#NUM!</v>
      </c>
      <c r="K97" s="80" t="e">
        <f>-LARGE($E$2:$E$241,96)</f>
        <v>#NUM!</v>
      </c>
      <c r="L97" s="67" t="e">
        <f t="shared" si="9"/>
        <v>#NUM!</v>
      </c>
      <c r="M97" s="85" t="e">
        <f t="shared" si="8"/>
        <v>#NUM!</v>
      </c>
      <c r="N97" s="39">
        <v>96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2:31" ht="17.25" thickTop="1" thickBot="1">
      <c r="B98">
        <f>wyniki!B120</f>
        <v>0</v>
      </c>
      <c r="C98" s="19">
        <f>wyniki!K120</f>
        <v>0</v>
      </c>
      <c r="D98" s="18">
        <v>-9.7000000000000005E-4</v>
      </c>
      <c r="E98" s="19" t="b">
        <f t="shared" si="5"/>
        <v>0</v>
      </c>
      <c r="F98">
        <f>wyniki!$A$119</f>
        <v>0</v>
      </c>
      <c r="G98" s="19">
        <f t="shared" si="6"/>
        <v>0</v>
      </c>
      <c r="J98" s="93" t="e">
        <f t="shared" si="7"/>
        <v>#NUM!</v>
      </c>
      <c r="K98" s="80" t="e">
        <f>-LARGE($E$2:$E$241,97)</f>
        <v>#NUM!</v>
      </c>
      <c r="L98" s="67" t="e">
        <f t="shared" si="9"/>
        <v>#NUM!</v>
      </c>
      <c r="M98" s="85" t="e">
        <f t="shared" si="8"/>
        <v>#NUM!</v>
      </c>
      <c r="N98" s="39">
        <v>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2:31" ht="17.25" thickTop="1" thickBot="1">
      <c r="B99">
        <f>wyniki!B121</f>
        <v>0</v>
      </c>
      <c r="C99" s="19">
        <f>wyniki!K121</f>
        <v>0</v>
      </c>
      <c r="D99" s="18">
        <v>-9.7999999999999997E-4</v>
      </c>
      <c r="E99" s="19" t="b">
        <f t="shared" si="5"/>
        <v>0</v>
      </c>
      <c r="F99">
        <f>wyniki!$A$119</f>
        <v>0</v>
      </c>
      <c r="G99" s="19">
        <f t="shared" si="6"/>
        <v>0</v>
      </c>
      <c r="J99" s="93" t="e">
        <f t="shared" si="7"/>
        <v>#NUM!</v>
      </c>
      <c r="K99" s="80" t="e">
        <f>-LARGE($E$2:$E$241,98)</f>
        <v>#NUM!</v>
      </c>
      <c r="L99" s="67" t="e">
        <f t="shared" si="9"/>
        <v>#NUM!</v>
      </c>
      <c r="M99" s="85" t="e">
        <f t="shared" si="8"/>
        <v>#NUM!</v>
      </c>
      <c r="N99" s="39">
        <v>98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2:31" ht="17.25" thickTop="1" thickBot="1">
      <c r="B100">
        <f>wyniki!B122</f>
        <v>0</v>
      </c>
      <c r="C100" s="19">
        <f>wyniki!K122</f>
        <v>0</v>
      </c>
      <c r="D100" s="18">
        <v>-9.8999999999999999E-4</v>
      </c>
      <c r="E100" s="19" t="b">
        <f t="shared" si="5"/>
        <v>0</v>
      </c>
      <c r="F100">
        <f>wyniki!$A$119</f>
        <v>0</v>
      </c>
      <c r="G100" s="19">
        <f t="shared" si="6"/>
        <v>0</v>
      </c>
      <c r="J100" s="93" t="e">
        <f t="shared" si="7"/>
        <v>#NUM!</v>
      </c>
      <c r="K100" s="80" t="e">
        <f>-LARGE($E$2:$E$241,99)</f>
        <v>#NUM!</v>
      </c>
      <c r="L100" s="67" t="e">
        <f t="shared" si="9"/>
        <v>#NUM!</v>
      </c>
      <c r="M100" s="85" t="e">
        <f t="shared" si="8"/>
        <v>#NUM!</v>
      </c>
      <c r="N100" s="39">
        <v>99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2:31" ht="17.25" thickTop="1" thickBot="1">
      <c r="B101">
        <f>wyniki!B123</f>
        <v>0</v>
      </c>
      <c r="C101" s="19">
        <f>wyniki!K123</f>
        <v>0</v>
      </c>
      <c r="D101" s="18">
        <v>-1E-3</v>
      </c>
      <c r="E101" s="19" t="b">
        <f t="shared" si="5"/>
        <v>0</v>
      </c>
      <c r="F101">
        <f>wyniki!$A$119</f>
        <v>0</v>
      </c>
      <c r="G101" s="19">
        <f t="shared" si="6"/>
        <v>0</v>
      </c>
      <c r="J101" s="93" t="e">
        <f t="shared" si="7"/>
        <v>#NUM!</v>
      </c>
      <c r="K101" s="80" t="e">
        <f>-LARGE($E$2:$E$241,100)</f>
        <v>#NUM!</v>
      </c>
      <c r="L101" s="67" t="e">
        <f t="shared" si="9"/>
        <v>#NUM!</v>
      </c>
      <c r="M101" s="85" t="e">
        <f t="shared" si="8"/>
        <v>#NUM!</v>
      </c>
      <c r="N101" s="39">
        <v>100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2:31" ht="17.25" thickTop="1" thickBot="1">
      <c r="B102">
        <f>wyniki!B124</f>
        <v>0</v>
      </c>
      <c r="C102" s="19">
        <f>wyniki!K124</f>
        <v>0</v>
      </c>
      <c r="D102" s="18">
        <v>-1.01E-3</v>
      </c>
      <c r="E102" s="19" t="b">
        <f t="shared" si="5"/>
        <v>0</v>
      </c>
      <c r="F102">
        <f>wyniki!$A$119</f>
        <v>0</v>
      </c>
      <c r="G102" s="19">
        <f t="shared" si="6"/>
        <v>0</v>
      </c>
      <c r="J102" s="93" t="e">
        <f t="shared" si="7"/>
        <v>#NUM!</v>
      </c>
      <c r="K102" s="80" t="e">
        <f>-LARGE($E$2:$E$241,101)</f>
        <v>#NUM!</v>
      </c>
      <c r="L102" s="67" t="e">
        <f t="shared" si="9"/>
        <v>#NUM!</v>
      </c>
      <c r="M102" s="85" t="e">
        <f t="shared" si="8"/>
        <v>#NUM!</v>
      </c>
      <c r="N102" s="39">
        <v>101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2:31" ht="17.25" thickTop="1" thickBot="1">
      <c r="B103">
        <f>wyniki!B125</f>
        <v>0</v>
      </c>
      <c r="C103" s="19">
        <f>wyniki!K125</f>
        <v>0</v>
      </c>
      <c r="D103" s="18">
        <v>-1.0200000000000001E-3</v>
      </c>
      <c r="E103" s="19" t="b">
        <f t="shared" si="5"/>
        <v>0</v>
      </c>
      <c r="F103">
        <f>wyniki!$A$119</f>
        <v>0</v>
      </c>
      <c r="G103" s="19">
        <f t="shared" si="6"/>
        <v>0</v>
      </c>
      <c r="J103" s="93" t="e">
        <f t="shared" si="7"/>
        <v>#NUM!</v>
      </c>
      <c r="K103" s="80" t="e">
        <f>-LARGE($E$2:$E$241,102)</f>
        <v>#NUM!</v>
      </c>
      <c r="L103" s="67" t="e">
        <f t="shared" si="9"/>
        <v>#NUM!</v>
      </c>
      <c r="M103" s="85" t="e">
        <f t="shared" si="8"/>
        <v>#NUM!</v>
      </c>
      <c r="N103" s="39">
        <v>102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2:31" ht="17.25" thickTop="1" thickBot="1">
      <c r="B104">
        <f>wyniki!B127</f>
        <v>0</v>
      </c>
      <c r="C104" s="19">
        <f>wyniki!K127</f>
        <v>0</v>
      </c>
      <c r="D104" s="18">
        <v>-1.0300000000000001E-3</v>
      </c>
      <c r="E104" s="19" t="b">
        <f t="shared" si="5"/>
        <v>0</v>
      </c>
      <c r="F104">
        <f>wyniki!$A$126</f>
        <v>0</v>
      </c>
      <c r="G104" s="19">
        <f t="shared" si="6"/>
        <v>0</v>
      </c>
      <c r="J104" s="93" t="e">
        <f t="shared" si="7"/>
        <v>#NUM!</v>
      </c>
      <c r="K104" s="80" t="e">
        <f>-LARGE($E$2:$E$241,103)</f>
        <v>#NUM!</v>
      </c>
      <c r="L104" s="67" t="e">
        <f t="shared" si="9"/>
        <v>#NUM!</v>
      </c>
      <c r="M104" s="85" t="e">
        <f t="shared" si="8"/>
        <v>#NUM!</v>
      </c>
      <c r="N104" s="39">
        <v>103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7.25" thickTop="1" thickBot="1">
      <c r="B105">
        <f>wyniki!B128</f>
        <v>0</v>
      </c>
      <c r="C105" s="19">
        <f>wyniki!K128</f>
        <v>0</v>
      </c>
      <c r="D105" s="18">
        <v>-1.0399999999999999E-3</v>
      </c>
      <c r="E105" s="19" t="b">
        <f t="shared" si="5"/>
        <v>0</v>
      </c>
      <c r="F105">
        <f>wyniki!$A$126</f>
        <v>0</v>
      </c>
      <c r="G105" s="19">
        <f t="shared" si="6"/>
        <v>0</v>
      </c>
      <c r="J105" s="93" t="e">
        <f t="shared" si="7"/>
        <v>#NUM!</v>
      </c>
      <c r="K105" s="80" t="e">
        <f>-LARGE($E$2:$E$241,104)</f>
        <v>#NUM!</v>
      </c>
      <c r="L105" s="67" t="e">
        <f t="shared" si="9"/>
        <v>#NUM!</v>
      </c>
      <c r="M105" s="85" t="e">
        <f t="shared" si="8"/>
        <v>#NUM!</v>
      </c>
      <c r="N105" s="39">
        <v>104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7.25" thickTop="1" thickBot="1">
      <c r="B106">
        <f>wyniki!B129</f>
        <v>0</v>
      </c>
      <c r="C106" s="19">
        <f>wyniki!K129</f>
        <v>0</v>
      </c>
      <c r="D106" s="18">
        <v>-1.0499999999999999E-3</v>
      </c>
      <c r="E106" s="19" t="b">
        <f t="shared" si="5"/>
        <v>0</v>
      </c>
      <c r="F106">
        <f>wyniki!$A$126</f>
        <v>0</v>
      </c>
      <c r="G106" s="19">
        <f t="shared" si="6"/>
        <v>0</v>
      </c>
      <c r="J106" s="93" t="e">
        <f t="shared" si="7"/>
        <v>#NUM!</v>
      </c>
      <c r="K106" s="80" t="e">
        <f>-LARGE($E$2:$E$241,105)</f>
        <v>#NUM!</v>
      </c>
      <c r="L106" s="67" t="e">
        <f t="shared" si="9"/>
        <v>#NUM!</v>
      </c>
      <c r="M106" s="85" t="e">
        <f t="shared" si="8"/>
        <v>#NUM!</v>
      </c>
      <c r="N106" s="39">
        <v>105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7.25" thickTop="1" thickBot="1">
      <c r="B107">
        <f>wyniki!B130</f>
        <v>0</v>
      </c>
      <c r="C107" s="19">
        <f>wyniki!K130</f>
        <v>0</v>
      </c>
      <c r="D107" s="18">
        <v>-1.06E-3</v>
      </c>
      <c r="E107" s="19" t="b">
        <f t="shared" si="5"/>
        <v>0</v>
      </c>
      <c r="F107">
        <f>wyniki!$A$126</f>
        <v>0</v>
      </c>
      <c r="G107" s="19">
        <f t="shared" si="6"/>
        <v>0</v>
      </c>
      <c r="J107" s="93" t="e">
        <f t="shared" si="7"/>
        <v>#NUM!</v>
      </c>
      <c r="K107" s="80" t="e">
        <f>-LARGE($E$2:$E$241,106)</f>
        <v>#NUM!</v>
      </c>
      <c r="L107" s="67" t="e">
        <f t="shared" si="9"/>
        <v>#NUM!</v>
      </c>
      <c r="M107" s="85" t="e">
        <f t="shared" si="8"/>
        <v>#NUM!</v>
      </c>
      <c r="N107" s="39">
        <v>106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7.25" thickTop="1" thickBot="1">
      <c r="B108">
        <f>wyniki!B131</f>
        <v>0</v>
      </c>
      <c r="C108" s="19">
        <f>wyniki!K131</f>
        <v>0</v>
      </c>
      <c r="D108" s="18">
        <v>-1.07E-3</v>
      </c>
      <c r="E108" s="19" t="b">
        <f t="shared" si="5"/>
        <v>0</v>
      </c>
      <c r="F108">
        <f>wyniki!$A$126</f>
        <v>0</v>
      </c>
      <c r="G108" s="19">
        <f t="shared" si="6"/>
        <v>0</v>
      </c>
      <c r="J108" s="93" t="e">
        <f t="shared" si="7"/>
        <v>#NUM!</v>
      </c>
      <c r="K108" s="80" t="e">
        <f>-LARGE($E$2:$E$241,107)</f>
        <v>#NUM!</v>
      </c>
      <c r="L108" s="67" t="e">
        <f t="shared" si="9"/>
        <v>#NUM!</v>
      </c>
      <c r="M108" s="85" t="e">
        <f t="shared" si="8"/>
        <v>#NUM!</v>
      </c>
      <c r="N108" s="39">
        <v>107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7.25" thickTop="1" thickBot="1">
      <c r="B109">
        <f>wyniki!B132</f>
        <v>0</v>
      </c>
      <c r="C109" s="19">
        <f>wyniki!K132</f>
        <v>0</v>
      </c>
      <c r="D109" s="18">
        <v>-1.08E-3</v>
      </c>
      <c r="E109" s="19" t="b">
        <f t="shared" si="5"/>
        <v>0</v>
      </c>
      <c r="F109">
        <f>wyniki!$A$126</f>
        <v>0</v>
      </c>
      <c r="G109" s="19">
        <f t="shared" si="6"/>
        <v>0</v>
      </c>
      <c r="J109" s="93" t="e">
        <f t="shared" si="7"/>
        <v>#NUM!</v>
      </c>
      <c r="K109" s="80" t="e">
        <f>-LARGE($E$2:$E$241,108)</f>
        <v>#NUM!</v>
      </c>
      <c r="L109" s="67" t="e">
        <f t="shared" si="9"/>
        <v>#NUM!</v>
      </c>
      <c r="M109" s="85" t="e">
        <f t="shared" si="8"/>
        <v>#NUM!</v>
      </c>
      <c r="N109" s="39">
        <v>108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7.25" thickTop="1" thickBot="1">
      <c r="B110">
        <f>wyniki!B134</f>
        <v>0</v>
      </c>
      <c r="C110" s="19">
        <f>wyniki!K134</f>
        <v>0</v>
      </c>
      <c r="D110" s="18">
        <v>-1.09E-3</v>
      </c>
      <c r="E110" s="19" t="b">
        <f t="shared" si="5"/>
        <v>0</v>
      </c>
      <c r="F110">
        <f>wyniki!$A$133</f>
        <v>0</v>
      </c>
      <c r="G110" s="19">
        <f t="shared" si="6"/>
        <v>0</v>
      </c>
      <c r="J110" s="93" t="e">
        <f t="shared" si="7"/>
        <v>#NUM!</v>
      </c>
      <c r="K110" s="80" t="e">
        <f>-LARGE($E$2:$E$241,109)</f>
        <v>#NUM!</v>
      </c>
      <c r="L110" s="67" t="e">
        <f t="shared" si="9"/>
        <v>#NUM!</v>
      </c>
      <c r="M110" s="85" t="e">
        <f t="shared" si="8"/>
        <v>#NUM!</v>
      </c>
      <c r="N110" s="39">
        <v>109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7.25" thickTop="1" thickBot="1">
      <c r="B111">
        <f>wyniki!B135</f>
        <v>0</v>
      </c>
      <c r="C111" s="19">
        <f>wyniki!K135</f>
        <v>0</v>
      </c>
      <c r="D111" s="18">
        <v>-1.1000000000000001E-3</v>
      </c>
      <c r="E111" s="19" t="b">
        <f t="shared" si="5"/>
        <v>0</v>
      </c>
      <c r="F111">
        <f>wyniki!$A$133</f>
        <v>0</v>
      </c>
      <c r="G111" s="19">
        <f t="shared" si="6"/>
        <v>0</v>
      </c>
      <c r="J111" s="93" t="e">
        <f t="shared" si="7"/>
        <v>#NUM!</v>
      </c>
      <c r="K111" s="80" t="e">
        <f>-LARGE($E$2:$E$241,110)</f>
        <v>#NUM!</v>
      </c>
      <c r="L111" s="67" t="e">
        <f t="shared" si="9"/>
        <v>#NUM!</v>
      </c>
      <c r="M111" s="85" t="e">
        <f t="shared" si="8"/>
        <v>#NUM!</v>
      </c>
      <c r="N111" s="39">
        <v>110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7.25" thickTop="1" thickBot="1">
      <c r="B112">
        <f>wyniki!B136</f>
        <v>0</v>
      </c>
      <c r="C112" s="19">
        <f>wyniki!K136</f>
        <v>0</v>
      </c>
      <c r="D112" s="18">
        <v>-1.1100000000000001E-3</v>
      </c>
      <c r="E112" s="19" t="b">
        <f t="shared" si="5"/>
        <v>0</v>
      </c>
      <c r="F112">
        <f>wyniki!$A$133</f>
        <v>0</v>
      </c>
      <c r="G112" s="19">
        <f t="shared" si="6"/>
        <v>0</v>
      </c>
      <c r="J112" s="93" t="e">
        <f t="shared" si="7"/>
        <v>#NUM!</v>
      </c>
      <c r="K112" s="80" t="e">
        <f>-LARGE($E$2:$E$241,111)</f>
        <v>#NUM!</v>
      </c>
      <c r="L112" s="67" t="e">
        <f t="shared" si="9"/>
        <v>#NUM!</v>
      </c>
      <c r="M112" s="85" t="e">
        <f t="shared" si="8"/>
        <v>#NUM!</v>
      </c>
      <c r="N112" s="39">
        <v>111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7.25" thickTop="1" thickBot="1">
      <c r="B113">
        <f>wyniki!B137</f>
        <v>0</v>
      </c>
      <c r="C113" s="19">
        <f>wyniki!K137</f>
        <v>0</v>
      </c>
      <c r="D113" s="18">
        <v>-1.1199999999999999E-3</v>
      </c>
      <c r="E113" s="19" t="b">
        <f t="shared" si="5"/>
        <v>0</v>
      </c>
      <c r="F113">
        <f>wyniki!$A$133</f>
        <v>0</v>
      </c>
      <c r="G113" s="19">
        <f t="shared" si="6"/>
        <v>0</v>
      </c>
      <c r="J113" s="93" t="e">
        <f t="shared" si="7"/>
        <v>#NUM!</v>
      </c>
      <c r="K113" s="80" t="e">
        <f>-LARGE($E$2:$E$241,112)</f>
        <v>#NUM!</v>
      </c>
      <c r="L113" s="67" t="e">
        <f t="shared" si="9"/>
        <v>#NUM!</v>
      </c>
      <c r="M113" s="85" t="e">
        <f t="shared" si="8"/>
        <v>#NUM!</v>
      </c>
      <c r="N113" s="39">
        <v>112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7.25" thickTop="1" thickBot="1">
      <c r="B114">
        <f>wyniki!B138</f>
        <v>0</v>
      </c>
      <c r="C114" s="19">
        <f>wyniki!K138</f>
        <v>0</v>
      </c>
      <c r="D114" s="18">
        <v>-1.1299999999999999E-3</v>
      </c>
      <c r="E114" s="19" t="b">
        <f t="shared" si="5"/>
        <v>0</v>
      </c>
      <c r="F114">
        <f>wyniki!$A$133</f>
        <v>0</v>
      </c>
      <c r="G114" s="19">
        <f t="shared" si="6"/>
        <v>0</v>
      </c>
      <c r="J114" s="93" t="e">
        <f t="shared" si="7"/>
        <v>#NUM!</v>
      </c>
      <c r="K114" s="80" t="e">
        <f>-LARGE($E$2:$E$241,113)</f>
        <v>#NUM!</v>
      </c>
      <c r="L114" s="67" t="e">
        <f t="shared" si="9"/>
        <v>#NUM!</v>
      </c>
      <c r="M114" s="85" t="e">
        <f t="shared" si="8"/>
        <v>#NUM!</v>
      </c>
      <c r="N114" s="39">
        <v>113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7.25" thickTop="1" thickBot="1">
      <c r="B115">
        <f>wyniki!B139</f>
        <v>0</v>
      </c>
      <c r="C115" s="19">
        <f>wyniki!K139</f>
        <v>0</v>
      </c>
      <c r="D115" s="18">
        <v>-1.14E-3</v>
      </c>
      <c r="E115" s="19" t="b">
        <f t="shared" si="5"/>
        <v>0</v>
      </c>
      <c r="F115">
        <f>wyniki!$A$133</f>
        <v>0</v>
      </c>
      <c r="G115" s="19">
        <f t="shared" si="6"/>
        <v>0</v>
      </c>
      <c r="J115" s="93" t="e">
        <f t="shared" si="7"/>
        <v>#NUM!</v>
      </c>
      <c r="K115" s="80" t="e">
        <f>-LARGE($E$2:$E$241,114)</f>
        <v>#NUM!</v>
      </c>
      <c r="L115" s="67" t="e">
        <f t="shared" si="9"/>
        <v>#NUM!</v>
      </c>
      <c r="M115" s="85" t="e">
        <f t="shared" si="8"/>
        <v>#NUM!</v>
      </c>
      <c r="N115" s="39">
        <v>114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7.25" thickTop="1" thickBot="1">
      <c r="B116">
        <f>wyniki!B141</f>
        <v>0</v>
      </c>
      <c r="C116" s="19">
        <f>wyniki!K141</f>
        <v>0</v>
      </c>
      <c r="D116" s="18">
        <v>-1.15E-3</v>
      </c>
      <c r="E116" s="19" t="b">
        <f t="shared" si="5"/>
        <v>0</v>
      </c>
      <c r="F116">
        <f>wyniki!$A$140</f>
        <v>0</v>
      </c>
      <c r="G116" s="19">
        <f t="shared" si="6"/>
        <v>0</v>
      </c>
      <c r="J116" s="93" t="e">
        <f t="shared" si="7"/>
        <v>#NUM!</v>
      </c>
      <c r="K116" s="80" t="e">
        <f>-LARGE($E$2:$E$241,115)</f>
        <v>#NUM!</v>
      </c>
      <c r="L116" s="67" t="e">
        <f t="shared" si="9"/>
        <v>#NUM!</v>
      </c>
      <c r="M116" s="85" t="e">
        <f t="shared" si="8"/>
        <v>#NUM!</v>
      </c>
      <c r="N116" s="39">
        <v>115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7.25" thickTop="1" thickBot="1">
      <c r="B117">
        <f>wyniki!B142</f>
        <v>0</v>
      </c>
      <c r="C117" s="19">
        <f>wyniki!K142</f>
        <v>0</v>
      </c>
      <c r="D117" s="18">
        <v>-1.16E-3</v>
      </c>
      <c r="E117" s="19" t="b">
        <f t="shared" si="5"/>
        <v>0</v>
      </c>
      <c r="F117">
        <f>wyniki!$A$140</f>
        <v>0</v>
      </c>
      <c r="G117" s="19">
        <f t="shared" si="6"/>
        <v>0</v>
      </c>
      <c r="J117" s="93" t="e">
        <f t="shared" si="7"/>
        <v>#NUM!</v>
      </c>
      <c r="K117" s="80" t="e">
        <f>-LARGE($E$2:$E$241,116)</f>
        <v>#NUM!</v>
      </c>
      <c r="L117" s="67" t="e">
        <f t="shared" si="9"/>
        <v>#NUM!</v>
      </c>
      <c r="M117" s="85" t="e">
        <f t="shared" si="8"/>
        <v>#NUM!</v>
      </c>
      <c r="N117" s="39">
        <v>116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7.25" thickTop="1" thickBot="1">
      <c r="B118">
        <f>wyniki!B143</f>
        <v>0</v>
      </c>
      <c r="C118" s="19">
        <f>wyniki!K143</f>
        <v>0</v>
      </c>
      <c r="D118" s="18">
        <v>-1.17E-3</v>
      </c>
      <c r="E118" s="19" t="b">
        <f t="shared" si="5"/>
        <v>0</v>
      </c>
      <c r="F118">
        <f>wyniki!$A$140</f>
        <v>0</v>
      </c>
      <c r="G118" s="19">
        <f t="shared" si="6"/>
        <v>0</v>
      </c>
      <c r="J118" s="93" t="e">
        <f t="shared" si="7"/>
        <v>#NUM!</v>
      </c>
      <c r="K118" s="80" t="e">
        <f>-LARGE($E$2:$E$241,117)</f>
        <v>#NUM!</v>
      </c>
      <c r="L118" s="67" t="e">
        <f t="shared" si="9"/>
        <v>#NUM!</v>
      </c>
      <c r="M118" s="85" t="e">
        <f t="shared" si="8"/>
        <v>#NUM!</v>
      </c>
      <c r="N118" s="39">
        <v>117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7.25" thickTop="1" thickBot="1">
      <c r="B119">
        <f>wyniki!B144</f>
        <v>0</v>
      </c>
      <c r="C119" s="19">
        <f>wyniki!K144</f>
        <v>0</v>
      </c>
      <c r="D119" s="18">
        <v>-1.1800000000000001E-3</v>
      </c>
      <c r="E119" s="19" t="b">
        <f t="shared" si="5"/>
        <v>0</v>
      </c>
      <c r="F119">
        <f>wyniki!$A$140</f>
        <v>0</v>
      </c>
      <c r="G119" s="19">
        <f t="shared" si="6"/>
        <v>0</v>
      </c>
      <c r="J119" s="93" t="e">
        <f t="shared" si="7"/>
        <v>#NUM!</v>
      </c>
      <c r="K119" s="80" t="e">
        <f>-LARGE($E$2:$E$241,118)</f>
        <v>#NUM!</v>
      </c>
      <c r="L119" s="67" t="e">
        <f t="shared" si="9"/>
        <v>#NUM!</v>
      </c>
      <c r="M119" s="85" t="e">
        <f t="shared" si="8"/>
        <v>#NUM!</v>
      </c>
      <c r="N119" s="39">
        <v>118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7.25" thickTop="1" thickBot="1">
      <c r="B120">
        <f>wyniki!B145</f>
        <v>0</v>
      </c>
      <c r="C120" s="19">
        <f>wyniki!K145</f>
        <v>0</v>
      </c>
      <c r="D120" s="18">
        <v>-1.1900000000000001E-3</v>
      </c>
      <c r="E120" s="19" t="b">
        <f t="shared" si="5"/>
        <v>0</v>
      </c>
      <c r="F120">
        <f>wyniki!$A$140</f>
        <v>0</v>
      </c>
      <c r="G120" s="19">
        <f t="shared" si="6"/>
        <v>0</v>
      </c>
      <c r="J120" s="93" t="e">
        <f t="shared" si="7"/>
        <v>#NUM!</v>
      </c>
      <c r="K120" s="80" t="e">
        <f>-LARGE($E$2:$E$241,119)</f>
        <v>#NUM!</v>
      </c>
      <c r="L120" s="67" t="e">
        <f t="shared" si="9"/>
        <v>#NUM!</v>
      </c>
      <c r="M120" s="85" t="e">
        <f t="shared" si="8"/>
        <v>#NUM!</v>
      </c>
      <c r="N120" s="39">
        <v>119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7.25" thickTop="1" thickBot="1">
      <c r="B121">
        <f>wyniki!B146</f>
        <v>0</v>
      </c>
      <c r="C121" s="19">
        <f>wyniki!K146</f>
        <v>0</v>
      </c>
      <c r="D121" s="18">
        <v>-1.1999999999999999E-3</v>
      </c>
      <c r="E121" s="19" t="b">
        <f t="shared" si="5"/>
        <v>0</v>
      </c>
      <c r="F121">
        <f>wyniki!$A$140</f>
        <v>0</v>
      </c>
      <c r="G121" s="19">
        <f t="shared" si="6"/>
        <v>0</v>
      </c>
      <c r="J121" s="93" t="e">
        <f t="shared" si="7"/>
        <v>#NUM!</v>
      </c>
      <c r="K121" s="80" t="e">
        <f>-LARGE($E$2:$E$241,120)</f>
        <v>#NUM!</v>
      </c>
      <c r="L121" s="67" t="e">
        <f t="shared" si="9"/>
        <v>#NUM!</v>
      </c>
      <c r="M121" s="85" t="e">
        <f t="shared" si="8"/>
        <v>#NUM!</v>
      </c>
      <c r="N121" s="39">
        <v>120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7.25" thickTop="1" thickBot="1">
      <c r="B122">
        <f>wyniki!B148</f>
        <v>0</v>
      </c>
      <c r="C122" s="19">
        <f>wyniki!K148</f>
        <v>0</v>
      </c>
      <c r="D122" s="18">
        <v>-1.2099999999999999E-3</v>
      </c>
      <c r="E122" s="19" t="b">
        <f t="shared" si="5"/>
        <v>0</v>
      </c>
      <c r="F122">
        <f>wyniki!$A$147</f>
        <v>0</v>
      </c>
      <c r="G122" s="19">
        <f t="shared" si="6"/>
        <v>0</v>
      </c>
      <c r="J122" s="93" t="e">
        <f t="shared" si="7"/>
        <v>#NUM!</v>
      </c>
      <c r="K122" s="80" t="e">
        <f>-LARGE($E$2:$E$241,121)</f>
        <v>#NUM!</v>
      </c>
      <c r="L122" s="67" t="e">
        <f t="shared" si="9"/>
        <v>#NUM!</v>
      </c>
      <c r="M122" s="85" t="e">
        <f t="shared" si="8"/>
        <v>#NUM!</v>
      </c>
      <c r="N122" s="39">
        <v>121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7.25" thickTop="1" thickBot="1">
      <c r="B123">
        <f>wyniki!B149</f>
        <v>0</v>
      </c>
      <c r="C123" s="19">
        <f>wyniki!K149</f>
        <v>0</v>
      </c>
      <c r="D123" s="18">
        <v>-1.2199999999999999E-3</v>
      </c>
      <c r="E123" s="19" t="b">
        <f t="shared" si="5"/>
        <v>0</v>
      </c>
      <c r="F123">
        <f>wyniki!$A$147</f>
        <v>0</v>
      </c>
      <c r="G123" s="19">
        <f t="shared" si="6"/>
        <v>0</v>
      </c>
      <c r="J123" s="93" t="e">
        <f t="shared" si="7"/>
        <v>#NUM!</v>
      </c>
      <c r="K123" s="80" t="e">
        <f>-LARGE($E$2:$E$241,122)</f>
        <v>#NUM!</v>
      </c>
      <c r="L123" s="67" t="e">
        <f t="shared" si="9"/>
        <v>#NUM!</v>
      </c>
      <c r="M123" s="85" t="e">
        <f t="shared" si="8"/>
        <v>#NUM!</v>
      </c>
      <c r="N123" s="39">
        <v>122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7.25" thickTop="1" thickBot="1">
      <c r="B124">
        <f>wyniki!B150</f>
        <v>0</v>
      </c>
      <c r="C124" s="19">
        <f>wyniki!K150</f>
        <v>0</v>
      </c>
      <c r="D124" s="18">
        <v>-1.23E-3</v>
      </c>
      <c r="E124" s="19" t="b">
        <f t="shared" si="5"/>
        <v>0</v>
      </c>
      <c r="F124">
        <f>wyniki!$A$147</f>
        <v>0</v>
      </c>
      <c r="G124" s="19">
        <f t="shared" si="6"/>
        <v>0</v>
      </c>
      <c r="J124" s="93" t="e">
        <f t="shared" si="7"/>
        <v>#NUM!</v>
      </c>
      <c r="K124" s="80" t="e">
        <f>-LARGE($E$2:$E$241,123)</f>
        <v>#NUM!</v>
      </c>
      <c r="L124" s="67" t="e">
        <f t="shared" si="9"/>
        <v>#NUM!</v>
      </c>
      <c r="M124" s="85" t="e">
        <f t="shared" si="8"/>
        <v>#NUM!</v>
      </c>
      <c r="N124" s="39">
        <v>123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7.25" thickTop="1" thickBot="1">
      <c r="B125">
        <f>wyniki!B151</f>
        <v>0</v>
      </c>
      <c r="C125" s="19">
        <f>wyniki!K151</f>
        <v>0</v>
      </c>
      <c r="D125" s="18">
        <v>-1.24E-3</v>
      </c>
      <c r="E125" s="19" t="b">
        <f t="shared" si="5"/>
        <v>0</v>
      </c>
      <c r="F125">
        <f>wyniki!$A$147</f>
        <v>0</v>
      </c>
      <c r="G125" s="19">
        <f t="shared" si="6"/>
        <v>0</v>
      </c>
      <c r="J125" s="93" t="e">
        <f t="shared" si="7"/>
        <v>#NUM!</v>
      </c>
      <c r="K125" s="80" t="e">
        <f>-LARGE($E$2:$E$241,124)</f>
        <v>#NUM!</v>
      </c>
      <c r="L125" s="67" t="e">
        <f t="shared" si="9"/>
        <v>#NUM!</v>
      </c>
      <c r="M125" s="85" t="e">
        <f t="shared" si="8"/>
        <v>#NUM!</v>
      </c>
      <c r="N125" s="39">
        <v>124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7.25" thickTop="1" thickBot="1">
      <c r="B126">
        <f>wyniki!B152</f>
        <v>0</v>
      </c>
      <c r="C126" s="19">
        <f>wyniki!K152</f>
        <v>0</v>
      </c>
      <c r="D126" s="18">
        <v>-1.25E-3</v>
      </c>
      <c r="E126" s="19" t="b">
        <f t="shared" si="5"/>
        <v>0</v>
      </c>
      <c r="F126">
        <f>wyniki!$A$147</f>
        <v>0</v>
      </c>
      <c r="G126" s="19">
        <f t="shared" si="6"/>
        <v>0</v>
      </c>
      <c r="J126" s="93" t="e">
        <f t="shared" si="7"/>
        <v>#NUM!</v>
      </c>
      <c r="K126" s="80" t="e">
        <f>-LARGE($E$2:$E$241,125)</f>
        <v>#NUM!</v>
      </c>
      <c r="L126" s="67" t="e">
        <f t="shared" si="9"/>
        <v>#NUM!</v>
      </c>
      <c r="M126" s="85" t="e">
        <f t="shared" si="8"/>
        <v>#NUM!</v>
      </c>
      <c r="N126" s="39">
        <v>125</v>
      </c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7.25" thickTop="1" thickBot="1">
      <c r="B127">
        <f>wyniki!B153</f>
        <v>0</v>
      </c>
      <c r="C127" s="19">
        <f>wyniki!K153</f>
        <v>0</v>
      </c>
      <c r="D127" s="18">
        <v>-1.2600000000000001E-3</v>
      </c>
      <c r="E127" s="19" t="b">
        <f t="shared" si="5"/>
        <v>0</v>
      </c>
      <c r="F127">
        <f>wyniki!$A$147</f>
        <v>0</v>
      </c>
      <c r="G127" s="19">
        <f t="shared" si="6"/>
        <v>0</v>
      </c>
      <c r="J127" s="93" t="e">
        <f t="shared" si="7"/>
        <v>#NUM!</v>
      </c>
      <c r="K127" s="80" t="e">
        <f>-LARGE($E$2:$E$241,126)</f>
        <v>#NUM!</v>
      </c>
      <c r="L127" s="67" t="e">
        <f t="shared" si="9"/>
        <v>#NUM!</v>
      </c>
      <c r="M127" s="85" t="e">
        <f t="shared" si="8"/>
        <v>#NUM!</v>
      </c>
      <c r="N127" s="39">
        <v>126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7.25" thickTop="1" thickBot="1">
      <c r="B128">
        <f>wyniki!B155</f>
        <v>0</v>
      </c>
      <c r="C128" s="19">
        <f>wyniki!K155</f>
        <v>0</v>
      </c>
      <c r="D128" s="18">
        <v>-1.2700000000000001E-3</v>
      </c>
      <c r="E128" s="19" t="b">
        <f t="shared" si="5"/>
        <v>0</v>
      </c>
      <c r="F128">
        <f>wyniki!$A$154</f>
        <v>0</v>
      </c>
      <c r="G128" s="19">
        <f t="shared" si="6"/>
        <v>0</v>
      </c>
      <c r="J128" s="93" t="e">
        <f t="shared" si="7"/>
        <v>#NUM!</v>
      </c>
      <c r="K128" s="80" t="e">
        <f>-LARGE($E$2:$E$241,127)</f>
        <v>#NUM!</v>
      </c>
      <c r="L128" s="67" t="e">
        <f t="shared" si="9"/>
        <v>#NUM!</v>
      </c>
      <c r="M128" s="85" t="e">
        <f t="shared" si="8"/>
        <v>#NUM!</v>
      </c>
      <c r="N128" s="39">
        <v>127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7.25" thickTop="1" thickBot="1">
      <c r="B129">
        <f>wyniki!B156</f>
        <v>0</v>
      </c>
      <c r="C129" s="19">
        <f>wyniki!K156</f>
        <v>0</v>
      </c>
      <c r="D129" s="18">
        <v>-1.2800000000000001E-3</v>
      </c>
      <c r="E129" s="19" t="b">
        <f t="shared" si="5"/>
        <v>0</v>
      </c>
      <c r="F129">
        <f>wyniki!$A$154</f>
        <v>0</v>
      </c>
      <c r="G129" s="19">
        <f t="shared" si="6"/>
        <v>0</v>
      </c>
      <c r="J129" s="93" t="e">
        <f t="shared" si="7"/>
        <v>#NUM!</v>
      </c>
      <c r="K129" s="80" t="e">
        <f>-LARGE($E$2:$E$241,128)</f>
        <v>#NUM!</v>
      </c>
      <c r="L129" s="67" t="e">
        <f t="shared" si="9"/>
        <v>#NUM!</v>
      </c>
      <c r="M129" s="85" t="e">
        <f t="shared" si="8"/>
        <v>#NUM!</v>
      </c>
      <c r="N129" s="39">
        <v>128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7.25" thickTop="1" thickBot="1">
      <c r="B130">
        <f>wyniki!B157</f>
        <v>0</v>
      </c>
      <c r="C130" s="19">
        <f>wyniki!K157</f>
        <v>0</v>
      </c>
      <c r="D130" s="18">
        <v>-1.2899999999999999E-3</v>
      </c>
      <c r="E130" s="19" t="b">
        <f t="shared" si="5"/>
        <v>0</v>
      </c>
      <c r="F130">
        <f>wyniki!$A$154</f>
        <v>0</v>
      </c>
      <c r="G130" s="19">
        <f t="shared" si="6"/>
        <v>0</v>
      </c>
      <c r="J130" s="93" t="e">
        <f t="shared" si="7"/>
        <v>#NUM!</v>
      </c>
      <c r="K130" s="80" t="e">
        <f>-LARGE($E$2:$E$241,129)</f>
        <v>#NUM!</v>
      </c>
      <c r="L130" s="67" t="e">
        <f t="shared" si="9"/>
        <v>#NUM!</v>
      </c>
      <c r="M130" s="85" t="e">
        <f t="shared" si="8"/>
        <v>#NUM!</v>
      </c>
      <c r="N130" s="39">
        <v>129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7.25" thickTop="1" thickBot="1">
      <c r="B131">
        <f>wyniki!B158</f>
        <v>0</v>
      </c>
      <c r="C131" s="19">
        <f>wyniki!K158</f>
        <v>0</v>
      </c>
      <c r="D131" s="18">
        <v>-1.2999999999999999E-3</v>
      </c>
      <c r="E131" s="19" t="b">
        <f t="shared" ref="E131:E194" si="10">IF(C131&gt;1,G131+D131)</f>
        <v>0</v>
      </c>
      <c r="F131">
        <f>wyniki!$A$154</f>
        <v>0</v>
      </c>
      <c r="G131" s="19">
        <f t="shared" ref="G131:G194" si="11">-C131</f>
        <v>0</v>
      </c>
      <c r="J131" s="93" t="e">
        <f t="shared" ref="J131:J194" si="12">INDEX($B$2:$E$241,L131,1)</f>
        <v>#NUM!</v>
      </c>
      <c r="K131" s="80" t="e">
        <f>-LARGE($E$2:$E$241,130)</f>
        <v>#NUM!</v>
      </c>
      <c r="L131" s="67" t="e">
        <f t="shared" si="9"/>
        <v>#NUM!</v>
      </c>
      <c r="M131" s="85" t="e">
        <f t="shared" ref="M131:M194" si="13">INDEX($E$2:$F$241,L131,2)</f>
        <v>#NUM!</v>
      </c>
      <c r="N131" s="39">
        <v>130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7.25" thickTop="1" thickBot="1">
      <c r="B132">
        <f>wyniki!B159</f>
        <v>0</v>
      </c>
      <c r="C132" s="19">
        <f>wyniki!K159</f>
        <v>0</v>
      </c>
      <c r="D132" s="18">
        <v>-1.31E-3</v>
      </c>
      <c r="E132" s="19" t="b">
        <f t="shared" si="10"/>
        <v>0</v>
      </c>
      <c r="F132">
        <f>wyniki!$A$154</f>
        <v>0</v>
      </c>
      <c r="G132" s="19">
        <f t="shared" si="11"/>
        <v>0</v>
      </c>
      <c r="J132" s="93" t="e">
        <f t="shared" si="12"/>
        <v>#NUM!</v>
      </c>
      <c r="K132" s="80" t="e">
        <f>-LARGE($E$2:$E$241,131)</f>
        <v>#NUM!</v>
      </c>
      <c r="L132" s="67" t="e">
        <f t="shared" ref="L132:L195" si="14">MATCH(-K132,$E$2:$E$241,0)</f>
        <v>#NUM!</v>
      </c>
      <c r="M132" s="85" t="e">
        <f t="shared" si="13"/>
        <v>#NUM!</v>
      </c>
      <c r="N132" s="39">
        <v>131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7.25" thickTop="1" thickBot="1">
      <c r="B133">
        <f>wyniki!B160</f>
        <v>0</v>
      </c>
      <c r="C133" s="19">
        <f>wyniki!K160</f>
        <v>0</v>
      </c>
      <c r="D133" s="18">
        <v>-1.32E-3</v>
      </c>
      <c r="E133" s="19" t="b">
        <f t="shared" si="10"/>
        <v>0</v>
      </c>
      <c r="F133">
        <f>wyniki!$A$154</f>
        <v>0</v>
      </c>
      <c r="G133" s="19">
        <f t="shared" si="11"/>
        <v>0</v>
      </c>
      <c r="J133" s="93" t="e">
        <f t="shared" si="12"/>
        <v>#NUM!</v>
      </c>
      <c r="K133" s="80" t="e">
        <f>-LARGE($E$2:$E$241,132)</f>
        <v>#NUM!</v>
      </c>
      <c r="L133" s="67" t="e">
        <f t="shared" si="14"/>
        <v>#NUM!</v>
      </c>
      <c r="M133" s="85" t="e">
        <f t="shared" si="13"/>
        <v>#NUM!</v>
      </c>
      <c r="N133" s="39">
        <v>132</v>
      </c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7.25" thickTop="1" thickBot="1">
      <c r="B134">
        <f>wyniki!B162</f>
        <v>0</v>
      </c>
      <c r="C134" s="19">
        <f>wyniki!K162</f>
        <v>0</v>
      </c>
      <c r="D134" s="18">
        <v>-1.33E-3</v>
      </c>
      <c r="E134" s="19" t="b">
        <f t="shared" si="10"/>
        <v>0</v>
      </c>
      <c r="F134">
        <f>wyniki!$A$161</f>
        <v>0</v>
      </c>
      <c r="G134" s="19">
        <f t="shared" si="11"/>
        <v>0</v>
      </c>
      <c r="J134" s="93" t="e">
        <f t="shared" si="12"/>
        <v>#NUM!</v>
      </c>
      <c r="K134" s="80" t="e">
        <f>-LARGE($E$2:$E$241,133)</f>
        <v>#NUM!</v>
      </c>
      <c r="L134" s="67" t="e">
        <f t="shared" si="14"/>
        <v>#NUM!</v>
      </c>
      <c r="M134" s="85" t="e">
        <f t="shared" si="13"/>
        <v>#NUM!</v>
      </c>
      <c r="N134" s="39">
        <v>133</v>
      </c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7.25" thickTop="1" thickBot="1">
      <c r="B135">
        <f>wyniki!B163</f>
        <v>0</v>
      </c>
      <c r="C135" s="19">
        <f>wyniki!K163</f>
        <v>0</v>
      </c>
      <c r="D135" s="18">
        <v>-1.34E-3</v>
      </c>
      <c r="E135" s="19" t="b">
        <f t="shared" si="10"/>
        <v>0</v>
      </c>
      <c r="F135">
        <f>wyniki!$A$161</f>
        <v>0</v>
      </c>
      <c r="G135" s="19">
        <f t="shared" si="11"/>
        <v>0</v>
      </c>
      <c r="J135" s="93" t="e">
        <f t="shared" si="12"/>
        <v>#NUM!</v>
      </c>
      <c r="K135" s="80" t="e">
        <f>-LARGE($E$2:$E$241,134)</f>
        <v>#NUM!</v>
      </c>
      <c r="L135" s="67" t="e">
        <f t="shared" si="14"/>
        <v>#NUM!</v>
      </c>
      <c r="M135" s="85" t="e">
        <f t="shared" si="13"/>
        <v>#NUM!</v>
      </c>
      <c r="N135" s="39">
        <v>134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7.25" thickTop="1" thickBot="1">
      <c r="B136">
        <f>wyniki!B164</f>
        <v>0</v>
      </c>
      <c r="C136" s="19">
        <f>wyniki!K164</f>
        <v>0</v>
      </c>
      <c r="D136" s="18">
        <v>-1.3500000000000001E-3</v>
      </c>
      <c r="E136" s="19" t="b">
        <f t="shared" si="10"/>
        <v>0</v>
      </c>
      <c r="F136">
        <f>wyniki!$A$161</f>
        <v>0</v>
      </c>
      <c r="G136" s="19">
        <f t="shared" si="11"/>
        <v>0</v>
      </c>
      <c r="J136" s="93" t="e">
        <f t="shared" si="12"/>
        <v>#NUM!</v>
      </c>
      <c r="K136" s="80" t="e">
        <f>-LARGE($E$2:$E$241,135)</f>
        <v>#NUM!</v>
      </c>
      <c r="L136" s="67" t="e">
        <f t="shared" si="14"/>
        <v>#NUM!</v>
      </c>
      <c r="M136" s="85" t="e">
        <f t="shared" si="13"/>
        <v>#NUM!</v>
      </c>
      <c r="N136" s="39">
        <v>135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7.25" thickTop="1" thickBot="1">
      <c r="B137">
        <f>wyniki!B165</f>
        <v>0</v>
      </c>
      <c r="C137" s="19">
        <f>wyniki!K165</f>
        <v>0</v>
      </c>
      <c r="D137" s="18">
        <v>-1.3600000000000001E-3</v>
      </c>
      <c r="E137" s="19" t="b">
        <f t="shared" si="10"/>
        <v>0</v>
      </c>
      <c r="F137">
        <f>wyniki!$A$161</f>
        <v>0</v>
      </c>
      <c r="G137" s="19">
        <f t="shared" si="11"/>
        <v>0</v>
      </c>
      <c r="J137" s="93" t="e">
        <f t="shared" si="12"/>
        <v>#NUM!</v>
      </c>
      <c r="K137" s="80" t="e">
        <f>-LARGE($E$2:$E$241,136)</f>
        <v>#NUM!</v>
      </c>
      <c r="L137" s="67" t="e">
        <f t="shared" si="14"/>
        <v>#NUM!</v>
      </c>
      <c r="M137" s="85" t="e">
        <f t="shared" si="13"/>
        <v>#NUM!</v>
      </c>
      <c r="N137" s="39">
        <v>136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7.25" thickTop="1" thickBot="1">
      <c r="B138">
        <f>wyniki!B166</f>
        <v>0</v>
      </c>
      <c r="C138" s="19">
        <f>wyniki!K166</f>
        <v>0</v>
      </c>
      <c r="D138" s="18">
        <v>-1.3699999999999999E-3</v>
      </c>
      <c r="E138" s="19" t="b">
        <f t="shared" si="10"/>
        <v>0</v>
      </c>
      <c r="F138">
        <f>wyniki!$A$161</f>
        <v>0</v>
      </c>
      <c r="G138" s="19">
        <f t="shared" si="11"/>
        <v>0</v>
      </c>
      <c r="J138" s="93" t="e">
        <f t="shared" si="12"/>
        <v>#NUM!</v>
      </c>
      <c r="K138" s="80" t="e">
        <f>-LARGE($E$2:$E$241,137)</f>
        <v>#NUM!</v>
      </c>
      <c r="L138" s="67" t="e">
        <f t="shared" si="14"/>
        <v>#NUM!</v>
      </c>
      <c r="M138" s="85" t="e">
        <f t="shared" si="13"/>
        <v>#NUM!</v>
      </c>
      <c r="N138" s="39">
        <v>137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7.25" thickTop="1" thickBot="1">
      <c r="B139">
        <f>wyniki!B167</f>
        <v>0</v>
      </c>
      <c r="C139" s="19">
        <f>wyniki!K167</f>
        <v>0</v>
      </c>
      <c r="D139" s="18">
        <v>-1.3799999999999999E-3</v>
      </c>
      <c r="E139" s="19" t="b">
        <f t="shared" si="10"/>
        <v>0</v>
      </c>
      <c r="F139">
        <f>wyniki!$A$161</f>
        <v>0</v>
      </c>
      <c r="G139" s="19">
        <f t="shared" si="11"/>
        <v>0</v>
      </c>
      <c r="J139" s="93" t="e">
        <f t="shared" si="12"/>
        <v>#NUM!</v>
      </c>
      <c r="K139" s="80" t="e">
        <f>-LARGE($E$2:$E$241,138)</f>
        <v>#NUM!</v>
      </c>
      <c r="L139" s="67" t="e">
        <f t="shared" si="14"/>
        <v>#NUM!</v>
      </c>
      <c r="M139" s="85" t="e">
        <f t="shared" si="13"/>
        <v>#NUM!</v>
      </c>
      <c r="N139" s="39">
        <v>138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7.25" thickTop="1" thickBot="1">
      <c r="B140">
        <f>wyniki!B169</f>
        <v>0</v>
      </c>
      <c r="C140" s="19">
        <f>wyniki!K169</f>
        <v>0</v>
      </c>
      <c r="D140" s="18">
        <v>-1.39E-3</v>
      </c>
      <c r="E140" s="19" t="b">
        <f t="shared" si="10"/>
        <v>0</v>
      </c>
      <c r="F140">
        <f>wyniki!$A$168</f>
        <v>0</v>
      </c>
      <c r="G140" s="19">
        <f t="shared" si="11"/>
        <v>0</v>
      </c>
      <c r="J140" s="93" t="e">
        <f t="shared" si="12"/>
        <v>#NUM!</v>
      </c>
      <c r="K140" s="80" t="e">
        <f>-LARGE($E$2:$E$241,139)</f>
        <v>#NUM!</v>
      </c>
      <c r="L140" s="67" t="e">
        <f t="shared" si="14"/>
        <v>#NUM!</v>
      </c>
      <c r="M140" s="85" t="e">
        <f t="shared" si="13"/>
        <v>#NUM!</v>
      </c>
      <c r="N140" s="39">
        <v>139</v>
      </c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7.25" thickTop="1" thickBot="1">
      <c r="B141">
        <f>wyniki!B170</f>
        <v>0</v>
      </c>
      <c r="C141" s="19">
        <f>wyniki!K170</f>
        <v>0</v>
      </c>
      <c r="D141" s="18">
        <v>-1.4E-3</v>
      </c>
      <c r="E141" s="19" t="b">
        <f t="shared" si="10"/>
        <v>0</v>
      </c>
      <c r="F141">
        <f>wyniki!$A$168</f>
        <v>0</v>
      </c>
      <c r="G141" s="19">
        <f t="shared" si="11"/>
        <v>0</v>
      </c>
      <c r="J141" s="93" t="e">
        <f t="shared" si="12"/>
        <v>#NUM!</v>
      </c>
      <c r="K141" s="80" t="e">
        <f>-LARGE($E$2:$E$241,140)</f>
        <v>#NUM!</v>
      </c>
      <c r="L141" s="67" t="e">
        <f t="shared" si="14"/>
        <v>#NUM!</v>
      </c>
      <c r="M141" s="85" t="e">
        <f t="shared" si="13"/>
        <v>#NUM!</v>
      </c>
      <c r="N141" s="39">
        <v>140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7.25" thickTop="1" thickBot="1">
      <c r="B142">
        <f>wyniki!B171</f>
        <v>0</v>
      </c>
      <c r="C142" s="19">
        <f>wyniki!K171</f>
        <v>0</v>
      </c>
      <c r="D142" s="18">
        <v>-1.41E-3</v>
      </c>
      <c r="E142" s="19" t="b">
        <f t="shared" si="10"/>
        <v>0</v>
      </c>
      <c r="F142">
        <f>wyniki!$A$168</f>
        <v>0</v>
      </c>
      <c r="G142" s="19">
        <f t="shared" si="11"/>
        <v>0</v>
      </c>
      <c r="J142" s="93" t="e">
        <f t="shared" si="12"/>
        <v>#NUM!</v>
      </c>
      <c r="K142" s="80" t="e">
        <f>-LARGE($E$2:$E$241,141)</f>
        <v>#NUM!</v>
      </c>
      <c r="L142" s="67" t="e">
        <f t="shared" si="14"/>
        <v>#NUM!</v>
      </c>
      <c r="M142" s="85" t="e">
        <f t="shared" si="13"/>
        <v>#NUM!</v>
      </c>
      <c r="N142" s="39">
        <v>141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7.25" thickTop="1" thickBot="1">
      <c r="B143">
        <f>wyniki!B172</f>
        <v>0</v>
      </c>
      <c r="C143" s="19">
        <f>wyniki!K172</f>
        <v>0</v>
      </c>
      <c r="D143" s="18">
        <v>-1.42E-3</v>
      </c>
      <c r="E143" s="19" t="b">
        <f t="shared" si="10"/>
        <v>0</v>
      </c>
      <c r="F143">
        <f>wyniki!$A$168</f>
        <v>0</v>
      </c>
      <c r="G143" s="19">
        <f t="shared" si="11"/>
        <v>0</v>
      </c>
      <c r="J143" s="93" t="e">
        <f t="shared" si="12"/>
        <v>#NUM!</v>
      </c>
      <c r="K143" s="80" t="e">
        <f>-LARGE($E$2:$E$241,142)</f>
        <v>#NUM!</v>
      </c>
      <c r="L143" s="67" t="e">
        <f t="shared" si="14"/>
        <v>#NUM!</v>
      </c>
      <c r="M143" s="85" t="e">
        <f t="shared" si="13"/>
        <v>#NUM!</v>
      </c>
      <c r="N143" s="39">
        <v>142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7.25" thickTop="1" thickBot="1">
      <c r="B144">
        <f>wyniki!B173</f>
        <v>0</v>
      </c>
      <c r="C144" s="19">
        <f>wyniki!K173</f>
        <v>0</v>
      </c>
      <c r="D144" s="18">
        <v>-1.4300000000000001E-3</v>
      </c>
      <c r="E144" s="19" t="b">
        <f t="shared" si="10"/>
        <v>0</v>
      </c>
      <c r="F144">
        <f>wyniki!$A$168</f>
        <v>0</v>
      </c>
      <c r="G144" s="19">
        <f t="shared" si="11"/>
        <v>0</v>
      </c>
      <c r="J144" s="93" t="e">
        <f t="shared" si="12"/>
        <v>#NUM!</v>
      </c>
      <c r="K144" s="80" t="e">
        <f>-LARGE($E$2:$E$241,143)</f>
        <v>#NUM!</v>
      </c>
      <c r="L144" s="67" t="e">
        <f t="shared" si="14"/>
        <v>#NUM!</v>
      </c>
      <c r="M144" s="85" t="e">
        <f t="shared" si="13"/>
        <v>#NUM!</v>
      </c>
      <c r="N144" s="39">
        <v>143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7.25" thickTop="1" thickBot="1">
      <c r="B145">
        <f>wyniki!B174</f>
        <v>0</v>
      </c>
      <c r="C145" s="19">
        <f>wyniki!K174</f>
        <v>0</v>
      </c>
      <c r="D145" s="18">
        <v>-1.4400000000000001E-3</v>
      </c>
      <c r="E145" s="19" t="b">
        <f t="shared" si="10"/>
        <v>0</v>
      </c>
      <c r="F145">
        <f>wyniki!$A$168</f>
        <v>0</v>
      </c>
      <c r="G145" s="19">
        <f t="shared" si="11"/>
        <v>0</v>
      </c>
      <c r="J145" s="93" t="e">
        <f t="shared" si="12"/>
        <v>#NUM!</v>
      </c>
      <c r="K145" s="80" t="e">
        <f>-LARGE($E$2:$E$241,144)</f>
        <v>#NUM!</v>
      </c>
      <c r="L145" s="67" t="e">
        <f t="shared" si="14"/>
        <v>#NUM!</v>
      </c>
      <c r="M145" s="85" t="e">
        <f t="shared" si="13"/>
        <v>#NUM!</v>
      </c>
      <c r="N145" s="39">
        <v>144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7.25" thickTop="1" thickBot="1">
      <c r="B146">
        <f>wyniki!B176</f>
        <v>0</v>
      </c>
      <c r="C146" s="19">
        <f>wyniki!K176</f>
        <v>0</v>
      </c>
      <c r="D146" s="18">
        <v>-1.4499999999999999E-3</v>
      </c>
      <c r="E146" s="19" t="b">
        <f t="shared" si="10"/>
        <v>0</v>
      </c>
      <c r="F146">
        <f>wyniki!$A$175</f>
        <v>0</v>
      </c>
      <c r="G146" s="19">
        <f t="shared" si="11"/>
        <v>0</v>
      </c>
      <c r="J146" s="93" t="e">
        <f t="shared" si="12"/>
        <v>#NUM!</v>
      </c>
      <c r="K146" s="80" t="e">
        <f>-LARGE($E$2:$E$241,145)</f>
        <v>#NUM!</v>
      </c>
      <c r="L146" s="67" t="e">
        <f t="shared" si="14"/>
        <v>#NUM!</v>
      </c>
      <c r="M146" s="85" t="e">
        <f t="shared" si="13"/>
        <v>#NUM!</v>
      </c>
      <c r="N146" s="39">
        <v>145</v>
      </c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7.25" thickTop="1" thickBot="1">
      <c r="B147">
        <f>wyniki!B177</f>
        <v>0</v>
      </c>
      <c r="C147" s="19">
        <f>wyniki!K177</f>
        <v>0</v>
      </c>
      <c r="D147" s="18">
        <v>-1.4599999999999999E-3</v>
      </c>
      <c r="E147" s="19" t="b">
        <f t="shared" si="10"/>
        <v>0</v>
      </c>
      <c r="F147">
        <f>wyniki!$A$175</f>
        <v>0</v>
      </c>
      <c r="G147" s="19">
        <f t="shared" si="11"/>
        <v>0</v>
      </c>
      <c r="J147" s="93" t="e">
        <f t="shared" si="12"/>
        <v>#NUM!</v>
      </c>
      <c r="K147" s="80" t="e">
        <f>-LARGE($E$2:$E$241,146)</f>
        <v>#NUM!</v>
      </c>
      <c r="L147" s="67" t="e">
        <f t="shared" si="14"/>
        <v>#NUM!</v>
      </c>
      <c r="M147" s="85" t="e">
        <f t="shared" si="13"/>
        <v>#NUM!</v>
      </c>
      <c r="N147" s="39">
        <v>146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7.25" thickTop="1" thickBot="1">
      <c r="B148">
        <f>wyniki!B178</f>
        <v>0</v>
      </c>
      <c r="C148" s="19">
        <f>wyniki!K178</f>
        <v>0</v>
      </c>
      <c r="D148" s="18">
        <v>-1.47E-3</v>
      </c>
      <c r="E148" s="19" t="b">
        <f t="shared" si="10"/>
        <v>0</v>
      </c>
      <c r="F148">
        <f>wyniki!$A$175</f>
        <v>0</v>
      </c>
      <c r="G148" s="19">
        <f t="shared" si="11"/>
        <v>0</v>
      </c>
      <c r="J148" s="93" t="e">
        <f t="shared" si="12"/>
        <v>#NUM!</v>
      </c>
      <c r="K148" s="80" t="e">
        <f>-LARGE($E$2:$E$241,147)</f>
        <v>#NUM!</v>
      </c>
      <c r="L148" s="67" t="e">
        <f t="shared" si="14"/>
        <v>#NUM!</v>
      </c>
      <c r="M148" s="85" t="e">
        <f t="shared" si="13"/>
        <v>#NUM!</v>
      </c>
      <c r="N148" s="39">
        <v>147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7.25" thickTop="1" thickBot="1">
      <c r="B149">
        <f>wyniki!B179</f>
        <v>0</v>
      </c>
      <c r="C149" s="19">
        <f>wyniki!K179</f>
        <v>0</v>
      </c>
      <c r="D149" s="18">
        <v>-1.48E-3</v>
      </c>
      <c r="E149" s="19" t="b">
        <f t="shared" si="10"/>
        <v>0</v>
      </c>
      <c r="F149">
        <f>wyniki!$A$175</f>
        <v>0</v>
      </c>
      <c r="G149" s="19">
        <f t="shared" si="11"/>
        <v>0</v>
      </c>
      <c r="J149" s="93" t="e">
        <f t="shared" si="12"/>
        <v>#NUM!</v>
      </c>
      <c r="K149" s="80" t="e">
        <f>-LARGE($E$2:$E$241,148)</f>
        <v>#NUM!</v>
      </c>
      <c r="L149" s="67" t="e">
        <f t="shared" si="14"/>
        <v>#NUM!</v>
      </c>
      <c r="M149" s="85" t="e">
        <f t="shared" si="13"/>
        <v>#NUM!</v>
      </c>
      <c r="N149" s="39">
        <v>148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7.25" thickTop="1" thickBot="1">
      <c r="B150">
        <f>wyniki!B180</f>
        <v>0</v>
      </c>
      <c r="C150" s="19">
        <f>wyniki!K180</f>
        <v>0</v>
      </c>
      <c r="D150" s="18">
        <v>-1.49E-3</v>
      </c>
      <c r="E150" s="19" t="b">
        <f t="shared" si="10"/>
        <v>0</v>
      </c>
      <c r="F150">
        <f>wyniki!$A$175</f>
        <v>0</v>
      </c>
      <c r="G150" s="19">
        <f t="shared" si="11"/>
        <v>0</v>
      </c>
      <c r="J150" s="93" t="e">
        <f t="shared" si="12"/>
        <v>#NUM!</v>
      </c>
      <c r="K150" s="80" t="e">
        <f>-LARGE($E$2:$E$241,149)</f>
        <v>#NUM!</v>
      </c>
      <c r="L150" s="67" t="e">
        <f t="shared" si="14"/>
        <v>#NUM!</v>
      </c>
      <c r="M150" s="85" t="e">
        <f t="shared" si="13"/>
        <v>#NUM!</v>
      </c>
      <c r="N150" s="39">
        <v>149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7.25" thickTop="1" thickBot="1">
      <c r="B151">
        <f>wyniki!B181</f>
        <v>0</v>
      </c>
      <c r="C151" s="19">
        <f>wyniki!K181</f>
        <v>0</v>
      </c>
      <c r="D151" s="18">
        <v>-1.5E-3</v>
      </c>
      <c r="E151" s="19" t="b">
        <f t="shared" si="10"/>
        <v>0</v>
      </c>
      <c r="F151">
        <f>wyniki!$A$175</f>
        <v>0</v>
      </c>
      <c r="G151" s="19">
        <f t="shared" si="11"/>
        <v>0</v>
      </c>
      <c r="J151" s="93" t="e">
        <f t="shared" si="12"/>
        <v>#NUM!</v>
      </c>
      <c r="K151" s="80" t="e">
        <f>-LARGE($E$2:$E$241,150)</f>
        <v>#NUM!</v>
      </c>
      <c r="L151" s="67" t="e">
        <f t="shared" si="14"/>
        <v>#NUM!</v>
      </c>
      <c r="M151" s="85" t="e">
        <f t="shared" si="13"/>
        <v>#NUM!</v>
      </c>
      <c r="N151" s="39">
        <v>150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7.25" thickTop="1" thickBot="1">
      <c r="B152">
        <f>wyniki!B183</f>
        <v>0</v>
      </c>
      <c r="C152" s="19">
        <f>wyniki!K183</f>
        <v>0</v>
      </c>
      <c r="D152" s="18">
        <v>-1.5100000000000001E-3</v>
      </c>
      <c r="E152" s="19" t="b">
        <f t="shared" si="10"/>
        <v>0</v>
      </c>
      <c r="F152">
        <f>wyniki!$A$182</f>
        <v>0</v>
      </c>
      <c r="G152" s="19">
        <f t="shared" si="11"/>
        <v>0</v>
      </c>
      <c r="J152" s="93" t="e">
        <f t="shared" si="12"/>
        <v>#NUM!</v>
      </c>
      <c r="K152" s="80" t="e">
        <f>-LARGE($E$2:$E$241,151)</f>
        <v>#NUM!</v>
      </c>
      <c r="L152" s="67" t="e">
        <f t="shared" si="14"/>
        <v>#NUM!</v>
      </c>
      <c r="M152" s="85" t="e">
        <f t="shared" si="13"/>
        <v>#NUM!</v>
      </c>
      <c r="N152" s="39">
        <v>151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7.25" thickTop="1" thickBot="1">
      <c r="B153">
        <f>wyniki!B184</f>
        <v>0</v>
      </c>
      <c r="C153" s="19">
        <f>wyniki!K184</f>
        <v>0</v>
      </c>
      <c r="D153" s="18">
        <v>-1.5200000000000001E-3</v>
      </c>
      <c r="E153" s="19" t="b">
        <f t="shared" si="10"/>
        <v>0</v>
      </c>
      <c r="F153">
        <f>wyniki!$A$182</f>
        <v>0</v>
      </c>
      <c r="G153" s="19">
        <f t="shared" si="11"/>
        <v>0</v>
      </c>
      <c r="J153" s="93" t="e">
        <f t="shared" si="12"/>
        <v>#NUM!</v>
      </c>
      <c r="K153" s="80" t="e">
        <f>-LARGE($E$2:$E$241,152)</f>
        <v>#NUM!</v>
      </c>
      <c r="L153" s="67" t="e">
        <f t="shared" si="14"/>
        <v>#NUM!</v>
      </c>
      <c r="M153" s="85" t="e">
        <f t="shared" si="13"/>
        <v>#NUM!</v>
      </c>
      <c r="N153" s="39">
        <v>152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7.25" thickTop="1" thickBot="1">
      <c r="B154">
        <f>wyniki!B185</f>
        <v>0</v>
      </c>
      <c r="C154" s="19">
        <f>wyniki!K185</f>
        <v>0</v>
      </c>
      <c r="D154" s="18">
        <v>-1.5299999999999999E-3</v>
      </c>
      <c r="E154" s="19" t="b">
        <f t="shared" si="10"/>
        <v>0</v>
      </c>
      <c r="F154">
        <f>wyniki!$A$182</f>
        <v>0</v>
      </c>
      <c r="G154" s="19">
        <f t="shared" si="11"/>
        <v>0</v>
      </c>
      <c r="J154" s="93" t="e">
        <f t="shared" si="12"/>
        <v>#NUM!</v>
      </c>
      <c r="K154" s="80" t="e">
        <f>-LARGE($E$2:$E$241,153)</f>
        <v>#NUM!</v>
      </c>
      <c r="L154" s="67" t="e">
        <f t="shared" si="14"/>
        <v>#NUM!</v>
      </c>
      <c r="M154" s="85" t="e">
        <f t="shared" si="13"/>
        <v>#NUM!</v>
      </c>
      <c r="N154" s="39">
        <v>153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7.25" thickTop="1" thickBot="1">
      <c r="B155">
        <f>wyniki!B186</f>
        <v>0</v>
      </c>
      <c r="C155" s="19">
        <f>wyniki!K186</f>
        <v>0</v>
      </c>
      <c r="D155" s="18">
        <v>-1.5399999999999999E-3</v>
      </c>
      <c r="E155" s="19" t="b">
        <f t="shared" si="10"/>
        <v>0</v>
      </c>
      <c r="F155">
        <f>wyniki!$A$182</f>
        <v>0</v>
      </c>
      <c r="G155" s="19">
        <f t="shared" si="11"/>
        <v>0</v>
      </c>
      <c r="J155" s="93" t="e">
        <f t="shared" si="12"/>
        <v>#NUM!</v>
      </c>
      <c r="K155" s="80" t="e">
        <f>-LARGE($E$2:$E$241,154)</f>
        <v>#NUM!</v>
      </c>
      <c r="L155" s="67" t="e">
        <f t="shared" si="14"/>
        <v>#NUM!</v>
      </c>
      <c r="M155" s="85" t="e">
        <f t="shared" si="13"/>
        <v>#NUM!</v>
      </c>
      <c r="N155" s="39">
        <v>154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7.25" thickTop="1" thickBot="1">
      <c r="B156">
        <f>wyniki!B187</f>
        <v>0</v>
      </c>
      <c r="C156" s="19">
        <f>wyniki!K187</f>
        <v>0</v>
      </c>
      <c r="D156" s="18">
        <v>-1.5499999999999999E-3</v>
      </c>
      <c r="E156" s="19" t="b">
        <f t="shared" si="10"/>
        <v>0</v>
      </c>
      <c r="F156">
        <f>wyniki!$A$182</f>
        <v>0</v>
      </c>
      <c r="G156" s="19">
        <f t="shared" si="11"/>
        <v>0</v>
      </c>
      <c r="J156" s="93" t="e">
        <f t="shared" si="12"/>
        <v>#NUM!</v>
      </c>
      <c r="K156" s="80" t="e">
        <f>-LARGE($E$2:$E$241,155)</f>
        <v>#NUM!</v>
      </c>
      <c r="L156" s="67" t="e">
        <f t="shared" si="14"/>
        <v>#NUM!</v>
      </c>
      <c r="M156" s="85" t="e">
        <f t="shared" si="13"/>
        <v>#NUM!</v>
      </c>
      <c r="N156" s="39">
        <v>155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7.25" thickTop="1" thickBot="1">
      <c r="B157">
        <f>wyniki!B188</f>
        <v>0</v>
      </c>
      <c r="C157" s="19">
        <f>wyniki!K188</f>
        <v>0</v>
      </c>
      <c r="D157" s="18">
        <v>-1.56E-3</v>
      </c>
      <c r="E157" s="19" t="b">
        <f t="shared" si="10"/>
        <v>0</v>
      </c>
      <c r="F157">
        <f>wyniki!$A$182</f>
        <v>0</v>
      </c>
      <c r="G157" s="19">
        <f t="shared" si="11"/>
        <v>0</v>
      </c>
      <c r="J157" s="93" t="e">
        <f t="shared" si="12"/>
        <v>#NUM!</v>
      </c>
      <c r="K157" s="80" t="e">
        <f>-LARGE($E$2:$E$241,156)</f>
        <v>#NUM!</v>
      </c>
      <c r="L157" s="67" t="e">
        <f t="shared" si="14"/>
        <v>#NUM!</v>
      </c>
      <c r="M157" s="85" t="e">
        <f t="shared" si="13"/>
        <v>#NUM!</v>
      </c>
      <c r="N157" s="39">
        <v>156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7.25" thickTop="1" thickBot="1">
      <c r="B158">
        <f>wyniki!B190</f>
        <v>0</v>
      </c>
      <c r="C158" s="19">
        <f>wyniki!K190</f>
        <v>0</v>
      </c>
      <c r="D158" s="18">
        <v>-1.57E-3</v>
      </c>
      <c r="E158" s="19" t="b">
        <f t="shared" si="10"/>
        <v>0</v>
      </c>
      <c r="F158">
        <f>wyniki!$A$189</f>
        <v>0</v>
      </c>
      <c r="G158" s="19">
        <f t="shared" si="11"/>
        <v>0</v>
      </c>
      <c r="J158" s="93" t="e">
        <f t="shared" si="12"/>
        <v>#NUM!</v>
      </c>
      <c r="K158" s="80" t="e">
        <f>-LARGE($E$2:$E$241,157)</f>
        <v>#NUM!</v>
      </c>
      <c r="L158" s="67" t="e">
        <f t="shared" si="14"/>
        <v>#NUM!</v>
      </c>
      <c r="M158" s="85" t="e">
        <f t="shared" si="13"/>
        <v>#NUM!</v>
      </c>
      <c r="N158" s="39">
        <v>157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7.25" thickTop="1" thickBot="1">
      <c r="B159">
        <f>wyniki!B191</f>
        <v>0</v>
      </c>
      <c r="C159" s="19">
        <f>wyniki!K191</f>
        <v>0</v>
      </c>
      <c r="D159" s="18">
        <v>-1.58E-3</v>
      </c>
      <c r="E159" s="19" t="b">
        <f t="shared" si="10"/>
        <v>0</v>
      </c>
      <c r="F159">
        <f>wyniki!$A$189</f>
        <v>0</v>
      </c>
      <c r="G159" s="19">
        <f t="shared" si="11"/>
        <v>0</v>
      </c>
      <c r="J159" s="93" t="e">
        <f t="shared" si="12"/>
        <v>#NUM!</v>
      </c>
      <c r="K159" s="80" t="e">
        <f>-LARGE($E$2:$E$241,158)</f>
        <v>#NUM!</v>
      </c>
      <c r="L159" s="67" t="e">
        <f t="shared" si="14"/>
        <v>#NUM!</v>
      </c>
      <c r="M159" s="85" t="e">
        <f t="shared" si="13"/>
        <v>#NUM!</v>
      </c>
      <c r="N159" s="39">
        <v>158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7.25" thickTop="1" thickBot="1">
      <c r="B160">
        <f>wyniki!B192</f>
        <v>0</v>
      </c>
      <c r="C160" s="19">
        <f>wyniki!K192</f>
        <v>0</v>
      </c>
      <c r="D160" s="18">
        <v>-1.5900000000000001E-3</v>
      </c>
      <c r="E160" s="19" t="b">
        <f t="shared" si="10"/>
        <v>0</v>
      </c>
      <c r="F160">
        <f>wyniki!$A$189</f>
        <v>0</v>
      </c>
      <c r="G160" s="19">
        <f t="shared" si="11"/>
        <v>0</v>
      </c>
      <c r="J160" s="93" t="e">
        <f t="shared" si="12"/>
        <v>#NUM!</v>
      </c>
      <c r="K160" s="80" t="e">
        <f>-LARGE($E$2:$E$241,159)</f>
        <v>#NUM!</v>
      </c>
      <c r="L160" s="67" t="e">
        <f t="shared" si="14"/>
        <v>#NUM!</v>
      </c>
      <c r="M160" s="85" t="e">
        <f t="shared" si="13"/>
        <v>#NUM!</v>
      </c>
      <c r="N160" s="39">
        <v>159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7.25" thickTop="1" thickBot="1">
      <c r="B161">
        <f>wyniki!B193</f>
        <v>0</v>
      </c>
      <c r="C161" s="19">
        <f>wyniki!K193</f>
        <v>0</v>
      </c>
      <c r="D161" s="18">
        <v>-1.6000000000000001E-3</v>
      </c>
      <c r="E161" s="19" t="b">
        <f t="shared" si="10"/>
        <v>0</v>
      </c>
      <c r="F161">
        <f>wyniki!$A$189</f>
        <v>0</v>
      </c>
      <c r="G161" s="19">
        <f t="shared" si="11"/>
        <v>0</v>
      </c>
      <c r="J161" s="93" t="e">
        <f t="shared" si="12"/>
        <v>#NUM!</v>
      </c>
      <c r="K161" s="80" t="e">
        <f>-LARGE($E$2:$E$241,160)</f>
        <v>#NUM!</v>
      </c>
      <c r="L161" s="67" t="e">
        <f t="shared" si="14"/>
        <v>#NUM!</v>
      </c>
      <c r="M161" s="85" t="e">
        <f t="shared" si="13"/>
        <v>#NUM!</v>
      </c>
      <c r="N161" s="39">
        <v>160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7.25" thickTop="1" thickBot="1">
      <c r="B162">
        <f>wyniki!B194</f>
        <v>0</v>
      </c>
      <c r="C162" s="19">
        <f>wyniki!K194</f>
        <v>0</v>
      </c>
      <c r="D162" s="18">
        <v>-1.6100000000000001E-3</v>
      </c>
      <c r="E162" s="19" t="b">
        <f t="shared" si="10"/>
        <v>0</v>
      </c>
      <c r="F162">
        <f>wyniki!$A$189</f>
        <v>0</v>
      </c>
      <c r="G162" s="19">
        <f t="shared" si="11"/>
        <v>0</v>
      </c>
      <c r="J162" s="93" t="e">
        <f t="shared" si="12"/>
        <v>#NUM!</v>
      </c>
      <c r="K162" s="80" t="e">
        <f>-LARGE($E$2:$E$241,161)</f>
        <v>#NUM!</v>
      </c>
      <c r="L162" s="67" t="e">
        <f t="shared" si="14"/>
        <v>#NUM!</v>
      </c>
      <c r="M162" s="85" t="e">
        <f t="shared" si="13"/>
        <v>#NUM!</v>
      </c>
      <c r="N162" s="39">
        <v>161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7.25" thickTop="1" thickBot="1">
      <c r="B163">
        <f>wyniki!B195</f>
        <v>0</v>
      </c>
      <c r="C163" s="19">
        <f>wyniki!K195</f>
        <v>0</v>
      </c>
      <c r="D163" s="18">
        <v>-1.6199999999999999E-3</v>
      </c>
      <c r="E163" s="19" t="b">
        <f t="shared" si="10"/>
        <v>0</v>
      </c>
      <c r="F163">
        <f>wyniki!$A$189</f>
        <v>0</v>
      </c>
      <c r="G163" s="19">
        <f t="shared" si="11"/>
        <v>0</v>
      </c>
      <c r="J163" s="93" t="e">
        <f t="shared" si="12"/>
        <v>#NUM!</v>
      </c>
      <c r="K163" s="80" t="e">
        <f>-LARGE($E$2:$E$241,162)</f>
        <v>#NUM!</v>
      </c>
      <c r="L163" s="67" t="e">
        <f t="shared" si="14"/>
        <v>#NUM!</v>
      </c>
      <c r="M163" s="85" t="e">
        <f t="shared" si="13"/>
        <v>#NUM!</v>
      </c>
      <c r="N163" s="39">
        <v>162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2:31" ht="17.25" thickTop="1" thickBot="1">
      <c r="B164">
        <f>wyniki!B197</f>
        <v>0</v>
      </c>
      <c r="C164" s="19">
        <f>wyniki!K197</f>
        <v>0</v>
      </c>
      <c r="D164" s="18">
        <v>-1.6299999999999999E-3</v>
      </c>
      <c r="E164" s="19" t="b">
        <f t="shared" si="10"/>
        <v>0</v>
      </c>
      <c r="F164">
        <f>wyniki!$A$196</f>
        <v>0</v>
      </c>
      <c r="G164" s="19">
        <f t="shared" si="11"/>
        <v>0</v>
      </c>
      <c r="J164" s="93" t="e">
        <f t="shared" si="12"/>
        <v>#NUM!</v>
      </c>
      <c r="K164" s="80" t="e">
        <f>-LARGE($E$2:$E$241,163)</f>
        <v>#NUM!</v>
      </c>
      <c r="L164" s="67" t="e">
        <f t="shared" si="14"/>
        <v>#NUM!</v>
      </c>
      <c r="M164" s="85" t="e">
        <f t="shared" si="13"/>
        <v>#NUM!</v>
      </c>
      <c r="N164" s="39">
        <v>163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2:31" ht="17.25" thickTop="1" thickBot="1">
      <c r="B165">
        <f>wyniki!B198</f>
        <v>0</v>
      </c>
      <c r="C165" s="19">
        <f>wyniki!K198</f>
        <v>0</v>
      </c>
      <c r="D165" s="18">
        <v>-1.64E-3</v>
      </c>
      <c r="E165" s="19" t="b">
        <f t="shared" si="10"/>
        <v>0</v>
      </c>
      <c r="F165">
        <f>wyniki!$A$196</f>
        <v>0</v>
      </c>
      <c r="G165" s="19">
        <f t="shared" si="11"/>
        <v>0</v>
      </c>
      <c r="J165" s="93" t="e">
        <f t="shared" si="12"/>
        <v>#NUM!</v>
      </c>
      <c r="K165" s="80" t="e">
        <f>-LARGE($E$2:$E$241,164)</f>
        <v>#NUM!</v>
      </c>
      <c r="L165" s="67" t="e">
        <f t="shared" si="14"/>
        <v>#NUM!</v>
      </c>
      <c r="M165" s="85" t="e">
        <f t="shared" si="13"/>
        <v>#NUM!</v>
      </c>
      <c r="N165" s="39">
        <v>164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2:31" ht="17.25" thickTop="1" thickBot="1">
      <c r="B166">
        <f>wyniki!B199</f>
        <v>0</v>
      </c>
      <c r="C166" s="19">
        <f>wyniki!K199</f>
        <v>0</v>
      </c>
      <c r="D166" s="18">
        <v>-1.65E-3</v>
      </c>
      <c r="E166" s="19" t="b">
        <f t="shared" si="10"/>
        <v>0</v>
      </c>
      <c r="F166">
        <f>wyniki!$A$196</f>
        <v>0</v>
      </c>
      <c r="G166" s="19">
        <f t="shared" si="11"/>
        <v>0</v>
      </c>
      <c r="J166" s="93" t="e">
        <f t="shared" si="12"/>
        <v>#NUM!</v>
      </c>
      <c r="K166" s="80" t="e">
        <f>-LARGE($E$2:$E$241,165)</f>
        <v>#NUM!</v>
      </c>
      <c r="L166" s="67" t="e">
        <f t="shared" si="14"/>
        <v>#NUM!</v>
      </c>
      <c r="M166" s="85" t="e">
        <f t="shared" si="13"/>
        <v>#NUM!</v>
      </c>
      <c r="N166" s="39">
        <v>165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2:31" ht="17.25" thickTop="1" thickBot="1">
      <c r="B167">
        <f>wyniki!B200</f>
        <v>0</v>
      </c>
      <c r="C167" s="19">
        <f>wyniki!K200</f>
        <v>0</v>
      </c>
      <c r="D167" s="18">
        <v>-1.66E-3</v>
      </c>
      <c r="E167" s="19" t="b">
        <f t="shared" si="10"/>
        <v>0</v>
      </c>
      <c r="F167">
        <f>wyniki!$A$196</f>
        <v>0</v>
      </c>
      <c r="G167" s="19">
        <f t="shared" si="11"/>
        <v>0</v>
      </c>
      <c r="J167" s="93" t="e">
        <f t="shared" si="12"/>
        <v>#NUM!</v>
      </c>
      <c r="K167" s="80" t="e">
        <f>-LARGE($E$2:$E$241,166)</f>
        <v>#NUM!</v>
      </c>
      <c r="L167" s="67" t="e">
        <f t="shared" si="14"/>
        <v>#NUM!</v>
      </c>
      <c r="M167" s="85" t="e">
        <f t="shared" si="13"/>
        <v>#NUM!</v>
      </c>
      <c r="N167" s="39">
        <v>166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2:31" ht="17.25" thickTop="1" thickBot="1">
      <c r="B168">
        <f>wyniki!B201</f>
        <v>0</v>
      </c>
      <c r="C168" s="19">
        <f>wyniki!K201</f>
        <v>0</v>
      </c>
      <c r="D168" s="18">
        <v>-1.67E-3</v>
      </c>
      <c r="E168" s="19" t="b">
        <f t="shared" si="10"/>
        <v>0</v>
      </c>
      <c r="F168">
        <f>wyniki!$A$196</f>
        <v>0</v>
      </c>
      <c r="G168" s="19">
        <f t="shared" si="11"/>
        <v>0</v>
      </c>
      <c r="J168" s="93" t="e">
        <f t="shared" si="12"/>
        <v>#NUM!</v>
      </c>
      <c r="K168" s="80" t="e">
        <f>-LARGE($E$2:$E$241,167)</f>
        <v>#NUM!</v>
      </c>
      <c r="L168" s="67" t="e">
        <f t="shared" si="14"/>
        <v>#NUM!</v>
      </c>
      <c r="M168" s="85" t="e">
        <f t="shared" si="13"/>
        <v>#NUM!</v>
      </c>
      <c r="N168" s="39">
        <v>167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2:31" ht="17.25" thickTop="1" thickBot="1">
      <c r="B169">
        <f>wyniki!B202</f>
        <v>0</v>
      </c>
      <c r="C169" s="19">
        <f>wyniki!K202</f>
        <v>0</v>
      </c>
      <c r="D169" s="18">
        <v>-1.6800000000000001E-3</v>
      </c>
      <c r="E169" s="19" t="b">
        <f t="shared" si="10"/>
        <v>0</v>
      </c>
      <c r="F169">
        <f>wyniki!$A$196</f>
        <v>0</v>
      </c>
      <c r="G169" s="19">
        <f t="shared" si="11"/>
        <v>0</v>
      </c>
      <c r="J169" s="93" t="e">
        <f t="shared" si="12"/>
        <v>#NUM!</v>
      </c>
      <c r="K169" s="80" t="e">
        <f>-LARGE($E$2:$E$241,168)</f>
        <v>#NUM!</v>
      </c>
      <c r="L169" s="67" t="e">
        <f t="shared" si="14"/>
        <v>#NUM!</v>
      </c>
      <c r="M169" s="85" t="e">
        <f t="shared" si="13"/>
        <v>#NUM!</v>
      </c>
      <c r="N169" s="39">
        <v>168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2:31" ht="17.25" thickTop="1" thickBot="1">
      <c r="B170">
        <f>wyniki!B204</f>
        <v>0</v>
      </c>
      <c r="C170" s="19">
        <f>wyniki!K204</f>
        <v>0</v>
      </c>
      <c r="D170" s="18">
        <v>-1.6900000000000001E-3</v>
      </c>
      <c r="E170" s="19" t="b">
        <f t="shared" si="10"/>
        <v>0</v>
      </c>
      <c r="F170">
        <f>wyniki!$A$203</f>
        <v>0</v>
      </c>
      <c r="G170" s="19">
        <f t="shared" si="11"/>
        <v>0</v>
      </c>
      <c r="J170" s="93" t="e">
        <f t="shared" si="12"/>
        <v>#NUM!</v>
      </c>
      <c r="K170" s="80" t="e">
        <f>-LARGE($E$2:$E$241,169)</f>
        <v>#NUM!</v>
      </c>
      <c r="L170" s="67" t="e">
        <f t="shared" si="14"/>
        <v>#NUM!</v>
      </c>
      <c r="M170" s="85" t="e">
        <f t="shared" si="13"/>
        <v>#NUM!</v>
      </c>
      <c r="N170" s="39">
        <v>169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2:31" ht="17.25" thickTop="1" thickBot="1">
      <c r="B171">
        <f>wyniki!B205</f>
        <v>0</v>
      </c>
      <c r="C171" s="19">
        <f>wyniki!K205</f>
        <v>0</v>
      </c>
      <c r="D171" s="18">
        <v>-1.6999999999999999E-3</v>
      </c>
      <c r="E171" s="19" t="b">
        <f t="shared" si="10"/>
        <v>0</v>
      </c>
      <c r="F171">
        <f>wyniki!$A$203</f>
        <v>0</v>
      </c>
      <c r="G171" s="19">
        <f t="shared" si="11"/>
        <v>0</v>
      </c>
      <c r="J171" s="93" t="e">
        <f t="shared" si="12"/>
        <v>#NUM!</v>
      </c>
      <c r="K171" s="80" t="e">
        <f>-LARGE($E$2:$E$241,170)</f>
        <v>#NUM!</v>
      </c>
      <c r="L171" s="67" t="e">
        <f t="shared" si="14"/>
        <v>#NUM!</v>
      </c>
      <c r="M171" s="85" t="e">
        <f t="shared" si="13"/>
        <v>#NUM!</v>
      </c>
      <c r="N171" s="39">
        <v>170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2:31" ht="17.25" thickTop="1" thickBot="1">
      <c r="B172">
        <f>wyniki!B206</f>
        <v>0</v>
      </c>
      <c r="C172" s="19">
        <f>wyniki!K206</f>
        <v>0</v>
      </c>
      <c r="D172" s="18">
        <v>-1.7099999999999999E-3</v>
      </c>
      <c r="E172" s="19" t="b">
        <f t="shared" si="10"/>
        <v>0</v>
      </c>
      <c r="F172">
        <f>wyniki!$A$203</f>
        <v>0</v>
      </c>
      <c r="G172" s="19">
        <f t="shared" si="11"/>
        <v>0</v>
      </c>
      <c r="J172" s="93" t="e">
        <f t="shared" si="12"/>
        <v>#NUM!</v>
      </c>
      <c r="K172" s="80" t="e">
        <f>-LARGE($E$2:$E$241,171)</f>
        <v>#NUM!</v>
      </c>
      <c r="L172" s="67" t="e">
        <f t="shared" si="14"/>
        <v>#NUM!</v>
      </c>
      <c r="M172" s="85" t="e">
        <f t="shared" si="13"/>
        <v>#NUM!</v>
      </c>
      <c r="N172" s="39">
        <v>171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2:31" ht="17.25" thickTop="1" thickBot="1">
      <c r="B173">
        <f>wyniki!B207</f>
        <v>0</v>
      </c>
      <c r="C173" s="19">
        <f>wyniki!K207</f>
        <v>0</v>
      </c>
      <c r="D173" s="18">
        <v>-1.72E-3</v>
      </c>
      <c r="E173" s="19" t="b">
        <f t="shared" si="10"/>
        <v>0</v>
      </c>
      <c r="F173">
        <f>wyniki!$A$203</f>
        <v>0</v>
      </c>
      <c r="G173" s="19">
        <f t="shared" si="11"/>
        <v>0</v>
      </c>
      <c r="J173" s="93" t="e">
        <f t="shared" si="12"/>
        <v>#NUM!</v>
      </c>
      <c r="K173" s="80" t="e">
        <f>-LARGE($E$2:$E$241,172)</f>
        <v>#NUM!</v>
      </c>
      <c r="L173" s="67" t="e">
        <f t="shared" si="14"/>
        <v>#NUM!</v>
      </c>
      <c r="M173" s="85" t="e">
        <f t="shared" si="13"/>
        <v>#NUM!</v>
      </c>
      <c r="N173" s="39">
        <v>172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2:31" ht="17.25" thickTop="1" thickBot="1">
      <c r="B174">
        <f>wyniki!B208</f>
        <v>0</v>
      </c>
      <c r="C174" s="19">
        <f>wyniki!K208</f>
        <v>0</v>
      </c>
      <c r="D174" s="18">
        <v>-1.73E-3</v>
      </c>
      <c r="E174" s="19" t="b">
        <f t="shared" si="10"/>
        <v>0</v>
      </c>
      <c r="F174">
        <f>wyniki!$A$203</f>
        <v>0</v>
      </c>
      <c r="G174" s="19">
        <f t="shared" si="11"/>
        <v>0</v>
      </c>
      <c r="J174" s="93" t="e">
        <f t="shared" si="12"/>
        <v>#NUM!</v>
      </c>
      <c r="K174" s="80" t="e">
        <f>-LARGE($E$2:$E$241,173)</f>
        <v>#NUM!</v>
      </c>
      <c r="L174" s="67" t="e">
        <f t="shared" si="14"/>
        <v>#NUM!</v>
      </c>
      <c r="M174" s="85" t="e">
        <f t="shared" si="13"/>
        <v>#NUM!</v>
      </c>
      <c r="N174" s="39">
        <v>173</v>
      </c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 spans="2:31" ht="17.25" thickTop="1" thickBot="1">
      <c r="B175">
        <f>wyniki!B209</f>
        <v>0</v>
      </c>
      <c r="C175" s="19">
        <f>wyniki!K209</f>
        <v>0</v>
      </c>
      <c r="D175" s="18">
        <v>-1.74E-3</v>
      </c>
      <c r="E175" s="19" t="b">
        <f t="shared" si="10"/>
        <v>0</v>
      </c>
      <c r="F175">
        <f>wyniki!$A$203</f>
        <v>0</v>
      </c>
      <c r="G175" s="19">
        <f t="shared" si="11"/>
        <v>0</v>
      </c>
      <c r="J175" s="93" t="e">
        <f t="shared" si="12"/>
        <v>#NUM!</v>
      </c>
      <c r="K175" s="80" t="e">
        <f>-LARGE($E$2:$E$241,174)</f>
        <v>#NUM!</v>
      </c>
      <c r="L175" s="67" t="e">
        <f t="shared" si="14"/>
        <v>#NUM!</v>
      </c>
      <c r="M175" s="85" t="e">
        <f t="shared" si="13"/>
        <v>#NUM!</v>
      </c>
      <c r="N175" s="39">
        <v>174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2:31" ht="17.25" thickTop="1" thickBot="1">
      <c r="B176">
        <f>wyniki!B211</f>
        <v>0</v>
      </c>
      <c r="C176" s="19">
        <f>wyniki!K211</f>
        <v>0</v>
      </c>
      <c r="D176" s="18">
        <v>-1.75E-3</v>
      </c>
      <c r="E176" s="19" t="b">
        <f t="shared" si="10"/>
        <v>0</v>
      </c>
      <c r="F176">
        <f>wyniki!$A$210</f>
        <v>0</v>
      </c>
      <c r="G176" s="19">
        <f t="shared" si="11"/>
        <v>0</v>
      </c>
      <c r="J176" s="93" t="e">
        <f t="shared" si="12"/>
        <v>#NUM!</v>
      </c>
      <c r="K176" s="80" t="e">
        <f>-LARGE($E$2:$E$241,175)</f>
        <v>#NUM!</v>
      </c>
      <c r="L176" s="67" t="e">
        <f t="shared" si="14"/>
        <v>#NUM!</v>
      </c>
      <c r="M176" s="85" t="e">
        <f t="shared" si="13"/>
        <v>#NUM!</v>
      </c>
      <c r="N176" s="39">
        <v>175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2:31" ht="17.25" thickTop="1" thickBot="1">
      <c r="B177">
        <f>wyniki!B212</f>
        <v>0</v>
      </c>
      <c r="C177" s="19">
        <f>wyniki!K212</f>
        <v>0</v>
      </c>
      <c r="D177" s="18">
        <v>-1.7600000000000001E-3</v>
      </c>
      <c r="E177" s="19" t="b">
        <f t="shared" si="10"/>
        <v>0</v>
      </c>
      <c r="F177">
        <f>wyniki!$A$210</f>
        <v>0</v>
      </c>
      <c r="G177" s="19">
        <f t="shared" si="11"/>
        <v>0</v>
      </c>
      <c r="J177" s="93" t="e">
        <f t="shared" si="12"/>
        <v>#NUM!</v>
      </c>
      <c r="K177" s="80" t="e">
        <f>-LARGE($E$2:$E$241,176)</f>
        <v>#NUM!</v>
      </c>
      <c r="L177" s="67" t="e">
        <f t="shared" si="14"/>
        <v>#NUM!</v>
      </c>
      <c r="M177" s="85" t="e">
        <f t="shared" si="13"/>
        <v>#NUM!</v>
      </c>
      <c r="N177" s="39">
        <v>176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2:31" ht="17.25" thickTop="1" thickBot="1">
      <c r="B178">
        <f>wyniki!B213</f>
        <v>0</v>
      </c>
      <c r="C178" s="19">
        <f>wyniki!K213</f>
        <v>0</v>
      </c>
      <c r="D178" s="18">
        <v>-1.7700000000000001E-3</v>
      </c>
      <c r="E178" s="19" t="b">
        <f t="shared" si="10"/>
        <v>0</v>
      </c>
      <c r="F178">
        <f>wyniki!$A$210</f>
        <v>0</v>
      </c>
      <c r="G178" s="19">
        <f t="shared" si="11"/>
        <v>0</v>
      </c>
      <c r="J178" s="93" t="e">
        <f t="shared" si="12"/>
        <v>#NUM!</v>
      </c>
      <c r="K178" s="80" t="e">
        <f>-LARGE($E$2:$E$241,177)</f>
        <v>#NUM!</v>
      </c>
      <c r="L178" s="67" t="e">
        <f t="shared" si="14"/>
        <v>#NUM!</v>
      </c>
      <c r="M178" s="85" t="e">
        <f t="shared" si="13"/>
        <v>#NUM!</v>
      </c>
      <c r="N178" s="39">
        <v>177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2:31" ht="17.25" thickTop="1" thickBot="1">
      <c r="B179">
        <f>wyniki!B214</f>
        <v>0</v>
      </c>
      <c r="C179" s="19">
        <f>wyniki!K214</f>
        <v>0</v>
      </c>
      <c r="D179" s="18">
        <v>-1.7799999999999999E-3</v>
      </c>
      <c r="E179" s="19" t="b">
        <f t="shared" si="10"/>
        <v>0</v>
      </c>
      <c r="F179">
        <f>wyniki!$A$210</f>
        <v>0</v>
      </c>
      <c r="G179" s="19">
        <f t="shared" si="11"/>
        <v>0</v>
      </c>
      <c r="J179" s="93" t="e">
        <f t="shared" si="12"/>
        <v>#NUM!</v>
      </c>
      <c r="K179" s="80" t="e">
        <f>-LARGE($E$2:$E$241,178)</f>
        <v>#NUM!</v>
      </c>
      <c r="L179" s="67" t="e">
        <f t="shared" si="14"/>
        <v>#NUM!</v>
      </c>
      <c r="M179" s="85" t="e">
        <f t="shared" si="13"/>
        <v>#NUM!</v>
      </c>
      <c r="N179" s="39">
        <v>178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2:31" ht="17.25" thickTop="1" thickBot="1">
      <c r="B180">
        <f>wyniki!B215</f>
        <v>0</v>
      </c>
      <c r="C180" s="19">
        <f>wyniki!K215</f>
        <v>0</v>
      </c>
      <c r="D180" s="18">
        <v>-1.7899999999999999E-3</v>
      </c>
      <c r="E180" s="19" t="b">
        <f t="shared" si="10"/>
        <v>0</v>
      </c>
      <c r="F180">
        <f>wyniki!$A$210</f>
        <v>0</v>
      </c>
      <c r="G180" s="19">
        <f t="shared" si="11"/>
        <v>0</v>
      </c>
      <c r="J180" s="93" t="e">
        <f t="shared" si="12"/>
        <v>#NUM!</v>
      </c>
      <c r="K180" s="80" t="e">
        <f>-LARGE($E$2:$E$241,179)</f>
        <v>#NUM!</v>
      </c>
      <c r="L180" s="67" t="e">
        <f t="shared" si="14"/>
        <v>#NUM!</v>
      </c>
      <c r="M180" s="85" t="e">
        <f t="shared" si="13"/>
        <v>#NUM!</v>
      </c>
      <c r="N180" s="39">
        <v>179</v>
      </c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 spans="2:31" ht="17.25" thickTop="1" thickBot="1">
      <c r="B181">
        <f>wyniki!B216</f>
        <v>0</v>
      </c>
      <c r="C181" s="19">
        <f>wyniki!K216</f>
        <v>0</v>
      </c>
      <c r="D181" s="18">
        <v>-1.8E-3</v>
      </c>
      <c r="E181" s="19" t="b">
        <f t="shared" si="10"/>
        <v>0</v>
      </c>
      <c r="F181">
        <f>wyniki!$A$210</f>
        <v>0</v>
      </c>
      <c r="G181" s="19">
        <f t="shared" si="11"/>
        <v>0</v>
      </c>
      <c r="J181" s="93" t="e">
        <f t="shared" si="12"/>
        <v>#NUM!</v>
      </c>
      <c r="K181" s="80" t="e">
        <f>-LARGE($E$2:$E$241,180)</f>
        <v>#NUM!</v>
      </c>
      <c r="L181" s="67" t="e">
        <f t="shared" si="14"/>
        <v>#NUM!</v>
      </c>
      <c r="M181" s="85" t="e">
        <f t="shared" si="13"/>
        <v>#NUM!</v>
      </c>
      <c r="N181" s="39">
        <v>180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2:31" ht="17.25" thickTop="1" thickBot="1">
      <c r="B182">
        <f>wyniki!B218</f>
        <v>0</v>
      </c>
      <c r="C182" s="19">
        <f>wyniki!K218</f>
        <v>0</v>
      </c>
      <c r="D182" s="18">
        <v>-1.81E-3</v>
      </c>
      <c r="E182" s="19" t="b">
        <f t="shared" si="10"/>
        <v>0</v>
      </c>
      <c r="F182">
        <f>wyniki!$A$217</f>
        <v>0</v>
      </c>
      <c r="G182" s="19">
        <f t="shared" si="11"/>
        <v>0</v>
      </c>
      <c r="J182" s="93" t="e">
        <f t="shared" si="12"/>
        <v>#NUM!</v>
      </c>
      <c r="K182" s="80" t="e">
        <f>-LARGE($E$2:$E$241,181)</f>
        <v>#NUM!</v>
      </c>
      <c r="L182" s="67" t="e">
        <f t="shared" si="14"/>
        <v>#NUM!</v>
      </c>
      <c r="M182" s="85" t="e">
        <f t="shared" si="13"/>
        <v>#NUM!</v>
      </c>
      <c r="N182" s="39">
        <v>181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 spans="2:31" ht="17.25" thickTop="1" thickBot="1">
      <c r="B183">
        <f>wyniki!B219</f>
        <v>0</v>
      </c>
      <c r="C183" s="19">
        <f>wyniki!K219</f>
        <v>0</v>
      </c>
      <c r="D183" s="18">
        <v>-1.82E-3</v>
      </c>
      <c r="E183" s="19" t="b">
        <f t="shared" si="10"/>
        <v>0</v>
      </c>
      <c r="F183">
        <f>wyniki!$A$217</f>
        <v>0</v>
      </c>
      <c r="G183" s="19">
        <f t="shared" si="11"/>
        <v>0</v>
      </c>
      <c r="J183" s="93" t="e">
        <f t="shared" si="12"/>
        <v>#NUM!</v>
      </c>
      <c r="K183" s="80" t="e">
        <f>-LARGE($E$2:$E$241,182)</f>
        <v>#NUM!</v>
      </c>
      <c r="L183" s="67" t="e">
        <f t="shared" si="14"/>
        <v>#NUM!</v>
      </c>
      <c r="M183" s="85" t="e">
        <f t="shared" si="13"/>
        <v>#NUM!</v>
      </c>
      <c r="N183" s="39">
        <v>182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2:31" ht="17.25" thickTop="1" thickBot="1">
      <c r="B184">
        <f>wyniki!B220</f>
        <v>0</v>
      </c>
      <c r="C184" s="19">
        <f>wyniki!K220</f>
        <v>0</v>
      </c>
      <c r="D184" s="18">
        <v>-1.83E-3</v>
      </c>
      <c r="E184" s="19" t="b">
        <f t="shared" si="10"/>
        <v>0</v>
      </c>
      <c r="F184">
        <f>wyniki!$A$217</f>
        <v>0</v>
      </c>
      <c r="G184" s="19">
        <f t="shared" si="11"/>
        <v>0</v>
      </c>
      <c r="J184" s="93" t="e">
        <f t="shared" si="12"/>
        <v>#NUM!</v>
      </c>
      <c r="K184" s="80" t="e">
        <f>-LARGE($E$2:$E$241,183)</f>
        <v>#NUM!</v>
      </c>
      <c r="L184" s="67" t="e">
        <f t="shared" si="14"/>
        <v>#NUM!</v>
      </c>
      <c r="M184" s="85" t="e">
        <f t="shared" si="13"/>
        <v>#NUM!</v>
      </c>
      <c r="N184" s="39">
        <v>183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7.25" thickTop="1" thickBot="1">
      <c r="B185">
        <f>wyniki!B221</f>
        <v>0</v>
      </c>
      <c r="C185" s="19">
        <f>wyniki!K221</f>
        <v>0</v>
      </c>
      <c r="D185" s="18">
        <v>-1.8400000000000001E-3</v>
      </c>
      <c r="E185" s="19" t="b">
        <f t="shared" si="10"/>
        <v>0</v>
      </c>
      <c r="F185">
        <f>wyniki!$A$217</f>
        <v>0</v>
      </c>
      <c r="G185" s="19">
        <f t="shared" si="11"/>
        <v>0</v>
      </c>
      <c r="J185" s="93" t="e">
        <f t="shared" si="12"/>
        <v>#NUM!</v>
      </c>
      <c r="K185" s="80" t="e">
        <f>-LARGE($E$2:$E$241,184)</f>
        <v>#NUM!</v>
      </c>
      <c r="L185" s="67" t="e">
        <f t="shared" si="14"/>
        <v>#NUM!</v>
      </c>
      <c r="M185" s="85" t="e">
        <f t="shared" si="13"/>
        <v>#NUM!</v>
      </c>
      <c r="N185" s="39">
        <v>184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7.25" thickTop="1" thickBot="1">
      <c r="B186">
        <f>wyniki!B222</f>
        <v>0</v>
      </c>
      <c r="C186" s="19">
        <f>wyniki!K222</f>
        <v>0</v>
      </c>
      <c r="D186" s="18">
        <v>-1.8500000000000001E-3</v>
      </c>
      <c r="E186" s="19" t="b">
        <f t="shared" si="10"/>
        <v>0</v>
      </c>
      <c r="F186">
        <f>wyniki!$A$217</f>
        <v>0</v>
      </c>
      <c r="G186" s="19">
        <f t="shared" si="11"/>
        <v>0</v>
      </c>
      <c r="J186" s="93" t="e">
        <f t="shared" si="12"/>
        <v>#NUM!</v>
      </c>
      <c r="K186" s="80" t="e">
        <f>-LARGE($E$2:$E$241,185)</f>
        <v>#NUM!</v>
      </c>
      <c r="L186" s="67" t="e">
        <f t="shared" si="14"/>
        <v>#NUM!</v>
      </c>
      <c r="M186" s="85" t="e">
        <f t="shared" si="13"/>
        <v>#NUM!</v>
      </c>
      <c r="N186" s="39">
        <v>185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7.25" thickTop="1" thickBot="1">
      <c r="B187">
        <f>wyniki!B223</f>
        <v>0</v>
      </c>
      <c r="C187" s="19">
        <f>wyniki!K223</f>
        <v>0</v>
      </c>
      <c r="D187" s="18">
        <v>-1.8600000000000001E-3</v>
      </c>
      <c r="E187" s="19" t="b">
        <f t="shared" si="10"/>
        <v>0</v>
      </c>
      <c r="F187">
        <f>wyniki!$A$217</f>
        <v>0</v>
      </c>
      <c r="G187" s="19">
        <f t="shared" si="11"/>
        <v>0</v>
      </c>
      <c r="J187" s="93" t="e">
        <f t="shared" si="12"/>
        <v>#NUM!</v>
      </c>
      <c r="K187" s="80" t="e">
        <f>-LARGE($E$2:$E$241,186)</f>
        <v>#NUM!</v>
      </c>
      <c r="L187" s="67" t="e">
        <f t="shared" si="14"/>
        <v>#NUM!</v>
      </c>
      <c r="M187" s="85" t="e">
        <f t="shared" si="13"/>
        <v>#NUM!</v>
      </c>
      <c r="N187" s="39">
        <v>186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7.25" thickTop="1" thickBot="1">
      <c r="B188">
        <f>wyniki!B225</f>
        <v>0</v>
      </c>
      <c r="C188" s="19">
        <f>wyniki!K225</f>
        <v>0</v>
      </c>
      <c r="D188" s="18">
        <v>-1.8699999999999999E-3</v>
      </c>
      <c r="E188" s="19" t="b">
        <f t="shared" si="10"/>
        <v>0</v>
      </c>
      <c r="F188">
        <f>wyniki!$A$224</f>
        <v>0</v>
      </c>
      <c r="G188" s="19">
        <f t="shared" si="11"/>
        <v>0</v>
      </c>
      <c r="J188" s="93" t="e">
        <f t="shared" si="12"/>
        <v>#NUM!</v>
      </c>
      <c r="K188" s="80" t="e">
        <f>-LARGE($E$2:$E$241,187)</f>
        <v>#NUM!</v>
      </c>
      <c r="L188" s="67" t="e">
        <f t="shared" si="14"/>
        <v>#NUM!</v>
      </c>
      <c r="M188" s="85" t="e">
        <f t="shared" si="13"/>
        <v>#NUM!</v>
      </c>
      <c r="N188" s="39">
        <v>187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7.25" thickTop="1" thickBot="1">
      <c r="B189">
        <f>wyniki!B226</f>
        <v>0</v>
      </c>
      <c r="C189" s="19">
        <f>wyniki!K226</f>
        <v>0</v>
      </c>
      <c r="D189" s="18">
        <v>-1.8799999999999999E-3</v>
      </c>
      <c r="E189" s="19" t="b">
        <f t="shared" si="10"/>
        <v>0</v>
      </c>
      <c r="F189">
        <f>wyniki!$A$224</f>
        <v>0</v>
      </c>
      <c r="G189" s="19">
        <f t="shared" si="11"/>
        <v>0</v>
      </c>
      <c r="J189" s="93" t="e">
        <f t="shared" si="12"/>
        <v>#NUM!</v>
      </c>
      <c r="K189" s="80" t="e">
        <f>-LARGE($E$2:$E$241,188)</f>
        <v>#NUM!</v>
      </c>
      <c r="L189" s="67" t="e">
        <f t="shared" si="14"/>
        <v>#NUM!</v>
      </c>
      <c r="M189" s="85" t="e">
        <f t="shared" si="13"/>
        <v>#NUM!</v>
      </c>
      <c r="N189" s="39">
        <v>188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7.25" thickTop="1" thickBot="1">
      <c r="B190">
        <f>wyniki!B227</f>
        <v>0</v>
      </c>
      <c r="C190" s="19">
        <f>wyniki!K227</f>
        <v>0</v>
      </c>
      <c r="D190" s="18">
        <v>-1.89E-3</v>
      </c>
      <c r="E190" s="19" t="b">
        <f t="shared" si="10"/>
        <v>0</v>
      </c>
      <c r="F190">
        <f>wyniki!$A$224</f>
        <v>0</v>
      </c>
      <c r="G190" s="19">
        <f t="shared" si="11"/>
        <v>0</v>
      </c>
      <c r="J190" s="93" t="e">
        <f t="shared" si="12"/>
        <v>#NUM!</v>
      </c>
      <c r="K190" s="80" t="e">
        <f>-LARGE($E$2:$E$241,189)</f>
        <v>#NUM!</v>
      </c>
      <c r="L190" s="67" t="e">
        <f t="shared" si="14"/>
        <v>#NUM!</v>
      </c>
      <c r="M190" s="85" t="e">
        <f t="shared" si="13"/>
        <v>#NUM!</v>
      </c>
      <c r="N190" s="39">
        <v>189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7.25" thickTop="1" thickBot="1">
      <c r="B191">
        <f>wyniki!B228</f>
        <v>0</v>
      </c>
      <c r="C191" s="19">
        <f>wyniki!K228</f>
        <v>0</v>
      </c>
      <c r="D191" s="18">
        <v>-1.9E-3</v>
      </c>
      <c r="E191" s="19" t="b">
        <f t="shared" si="10"/>
        <v>0</v>
      </c>
      <c r="F191">
        <f>wyniki!$A$224</f>
        <v>0</v>
      </c>
      <c r="G191" s="19">
        <f t="shared" si="11"/>
        <v>0</v>
      </c>
      <c r="J191" s="93" t="e">
        <f t="shared" si="12"/>
        <v>#NUM!</v>
      </c>
      <c r="K191" s="80" t="e">
        <f>-LARGE($E$2:$E$241,190)</f>
        <v>#NUM!</v>
      </c>
      <c r="L191" s="67" t="e">
        <f t="shared" si="14"/>
        <v>#NUM!</v>
      </c>
      <c r="M191" s="85" t="e">
        <f t="shared" si="13"/>
        <v>#NUM!</v>
      </c>
      <c r="N191" s="39">
        <v>190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7.25" thickTop="1" thickBot="1">
      <c r="B192">
        <f>wyniki!B229</f>
        <v>0</v>
      </c>
      <c r="C192" s="19">
        <f>wyniki!K229</f>
        <v>0</v>
      </c>
      <c r="D192" s="18">
        <v>-1.91E-3</v>
      </c>
      <c r="E192" s="19" t="b">
        <f t="shared" si="10"/>
        <v>0</v>
      </c>
      <c r="F192">
        <f>wyniki!$A$224</f>
        <v>0</v>
      </c>
      <c r="G192" s="19">
        <f t="shared" si="11"/>
        <v>0</v>
      </c>
      <c r="J192" s="93" t="e">
        <f t="shared" si="12"/>
        <v>#NUM!</v>
      </c>
      <c r="K192" s="80" t="e">
        <f>-LARGE($E$2:$E$241,191)</f>
        <v>#NUM!</v>
      </c>
      <c r="L192" s="67" t="e">
        <f t="shared" si="14"/>
        <v>#NUM!</v>
      </c>
      <c r="M192" s="85" t="e">
        <f t="shared" si="13"/>
        <v>#NUM!</v>
      </c>
      <c r="N192" s="39">
        <v>191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7.25" thickTop="1" thickBot="1">
      <c r="B193">
        <f>wyniki!B230</f>
        <v>0</v>
      </c>
      <c r="C193" s="19">
        <f>wyniki!K230</f>
        <v>0</v>
      </c>
      <c r="D193" s="18">
        <v>-1.92E-3</v>
      </c>
      <c r="E193" s="19" t="b">
        <f t="shared" si="10"/>
        <v>0</v>
      </c>
      <c r="F193">
        <f>wyniki!$A$224</f>
        <v>0</v>
      </c>
      <c r="G193" s="19">
        <f t="shared" si="11"/>
        <v>0</v>
      </c>
      <c r="J193" s="93" t="e">
        <f t="shared" si="12"/>
        <v>#NUM!</v>
      </c>
      <c r="K193" s="80" t="e">
        <f>-LARGE($E$2:$E$241,192)</f>
        <v>#NUM!</v>
      </c>
      <c r="L193" s="67" t="e">
        <f t="shared" si="14"/>
        <v>#NUM!</v>
      </c>
      <c r="M193" s="85" t="e">
        <f t="shared" si="13"/>
        <v>#NUM!</v>
      </c>
      <c r="N193" s="39">
        <v>192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7.25" thickTop="1" thickBot="1">
      <c r="B194">
        <f>wyniki!B232</f>
        <v>0</v>
      </c>
      <c r="C194" s="19">
        <f>wyniki!K232</f>
        <v>0</v>
      </c>
      <c r="D194" s="18">
        <v>-1.9300000000000001E-3</v>
      </c>
      <c r="E194" s="19" t="b">
        <f t="shared" si="10"/>
        <v>0</v>
      </c>
      <c r="F194">
        <f>wyniki!$A$231</f>
        <v>0</v>
      </c>
      <c r="G194" s="19">
        <f t="shared" si="11"/>
        <v>0</v>
      </c>
      <c r="J194" s="93" t="e">
        <f t="shared" si="12"/>
        <v>#NUM!</v>
      </c>
      <c r="K194" s="80" t="e">
        <f>-LARGE($E$2:$E$241,193)</f>
        <v>#NUM!</v>
      </c>
      <c r="L194" s="67" t="e">
        <f t="shared" si="14"/>
        <v>#NUM!</v>
      </c>
      <c r="M194" s="85" t="e">
        <f t="shared" si="13"/>
        <v>#NUM!</v>
      </c>
      <c r="N194" s="39">
        <v>193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7.25" thickTop="1" thickBot="1">
      <c r="B195">
        <f>wyniki!B233</f>
        <v>0</v>
      </c>
      <c r="C195" s="19">
        <f>wyniki!K233</f>
        <v>0</v>
      </c>
      <c r="D195" s="18">
        <v>-1.9400000000000001E-3</v>
      </c>
      <c r="E195" s="19" t="b">
        <f t="shared" ref="E195:E241" si="15">IF(C195&gt;1,G195+D195)</f>
        <v>0</v>
      </c>
      <c r="F195">
        <f>wyniki!$A$231</f>
        <v>0</v>
      </c>
      <c r="G195" s="19">
        <f t="shared" ref="G195:G241" si="16">-C195</f>
        <v>0</v>
      </c>
      <c r="J195" s="93" t="e">
        <f t="shared" ref="J195:J241" si="17">INDEX($B$2:$E$241,L195,1)</f>
        <v>#NUM!</v>
      </c>
      <c r="K195" s="80" t="e">
        <f>-LARGE($E$2:$E$241,194)</f>
        <v>#NUM!</v>
      </c>
      <c r="L195" s="67" t="e">
        <f t="shared" si="14"/>
        <v>#NUM!</v>
      </c>
      <c r="M195" s="85" t="e">
        <f t="shared" ref="M195:M241" si="18">INDEX($E$2:$F$241,L195,2)</f>
        <v>#NUM!</v>
      </c>
      <c r="N195" s="39">
        <v>194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7.25" thickTop="1" thickBot="1">
      <c r="B196">
        <f>wyniki!B234</f>
        <v>0</v>
      </c>
      <c r="C196" s="19">
        <f>wyniki!K234</f>
        <v>0</v>
      </c>
      <c r="D196" s="18">
        <v>-1.9499999999999999E-3</v>
      </c>
      <c r="E196" s="19" t="b">
        <f t="shared" si="15"/>
        <v>0</v>
      </c>
      <c r="F196">
        <f>wyniki!$A$231</f>
        <v>0</v>
      </c>
      <c r="G196" s="19">
        <f t="shared" si="16"/>
        <v>0</v>
      </c>
      <c r="J196" s="93" t="e">
        <f t="shared" si="17"/>
        <v>#NUM!</v>
      </c>
      <c r="K196" s="80" t="e">
        <f>-LARGE($E$2:$E$241,195)</f>
        <v>#NUM!</v>
      </c>
      <c r="L196" s="67" t="e">
        <f t="shared" ref="L196:L241" si="19">MATCH(-K196,$E$2:$E$241,0)</f>
        <v>#NUM!</v>
      </c>
      <c r="M196" s="85" t="e">
        <f t="shared" si="18"/>
        <v>#NUM!</v>
      </c>
      <c r="N196" s="39">
        <v>195</v>
      </c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7.25" thickTop="1" thickBot="1">
      <c r="B197">
        <f>wyniki!B235</f>
        <v>0</v>
      </c>
      <c r="C197" s="19">
        <f>wyniki!K235</f>
        <v>0</v>
      </c>
      <c r="D197" s="18">
        <v>-1.9599999999999999E-3</v>
      </c>
      <c r="E197" s="19" t="b">
        <f t="shared" si="15"/>
        <v>0</v>
      </c>
      <c r="F197">
        <f>wyniki!$A$231</f>
        <v>0</v>
      </c>
      <c r="G197" s="19">
        <f t="shared" si="16"/>
        <v>0</v>
      </c>
      <c r="J197" s="93" t="e">
        <f t="shared" si="17"/>
        <v>#NUM!</v>
      </c>
      <c r="K197" s="80" t="e">
        <f>-LARGE($E$2:$E$241,196)</f>
        <v>#NUM!</v>
      </c>
      <c r="L197" s="67" t="e">
        <f t="shared" si="19"/>
        <v>#NUM!</v>
      </c>
      <c r="M197" s="85" t="e">
        <f t="shared" si="18"/>
        <v>#NUM!</v>
      </c>
      <c r="N197" s="39">
        <v>196</v>
      </c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7.25" thickTop="1" thickBot="1">
      <c r="B198">
        <f>wyniki!B236</f>
        <v>0</v>
      </c>
      <c r="C198" s="19">
        <f>wyniki!K236</f>
        <v>0</v>
      </c>
      <c r="D198" s="18">
        <v>-1.97E-3</v>
      </c>
      <c r="E198" s="19" t="b">
        <f t="shared" si="15"/>
        <v>0</v>
      </c>
      <c r="F198">
        <f>wyniki!$A$231</f>
        <v>0</v>
      </c>
      <c r="G198" s="19">
        <f t="shared" si="16"/>
        <v>0</v>
      </c>
      <c r="J198" s="93" t="e">
        <f t="shared" si="17"/>
        <v>#NUM!</v>
      </c>
      <c r="K198" s="80" t="e">
        <f>-LARGE($E$2:$E$241,197)</f>
        <v>#NUM!</v>
      </c>
      <c r="L198" s="67" t="e">
        <f t="shared" si="19"/>
        <v>#NUM!</v>
      </c>
      <c r="M198" s="85" t="e">
        <f t="shared" si="18"/>
        <v>#NUM!</v>
      </c>
      <c r="N198" s="39">
        <v>197</v>
      </c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7.25" thickTop="1" thickBot="1">
      <c r="B199">
        <f>wyniki!B237</f>
        <v>0</v>
      </c>
      <c r="C199" s="19">
        <f>wyniki!K237</f>
        <v>0</v>
      </c>
      <c r="D199" s="18">
        <v>-1.98E-3</v>
      </c>
      <c r="E199" s="19" t="b">
        <f t="shared" si="15"/>
        <v>0</v>
      </c>
      <c r="F199">
        <f>wyniki!$A$231</f>
        <v>0</v>
      </c>
      <c r="G199" s="19">
        <f t="shared" si="16"/>
        <v>0</v>
      </c>
      <c r="J199" s="93" t="e">
        <f t="shared" si="17"/>
        <v>#NUM!</v>
      </c>
      <c r="K199" s="80" t="e">
        <f>-LARGE($E$2:$E$241,198)</f>
        <v>#NUM!</v>
      </c>
      <c r="L199" s="67" t="e">
        <f t="shared" si="19"/>
        <v>#NUM!</v>
      </c>
      <c r="M199" s="85" t="e">
        <f t="shared" si="18"/>
        <v>#NUM!</v>
      </c>
      <c r="N199" s="39">
        <v>198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7.25" thickTop="1" thickBot="1">
      <c r="B200">
        <f>wyniki!B239</f>
        <v>0</v>
      </c>
      <c r="C200" s="19">
        <f>wyniki!K239</f>
        <v>0</v>
      </c>
      <c r="D200" s="18">
        <v>-1.99E-3</v>
      </c>
      <c r="E200" s="19" t="b">
        <f t="shared" si="15"/>
        <v>0</v>
      </c>
      <c r="F200">
        <f>wyniki!$A$238</f>
        <v>0</v>
      </c>
      <c r="G200" s="19">
        <f t="shared" si="16"/>
        <v>0</v>
      </c>
      <c r="J200" s="93" t="e">
        <f t="shared" si="17"/>
        <v>#NUM!</v>
      </c>
      <c r="K200" s="80" t="e">
        <f>-LARGE($E$2:$E$241,199)</f>
        <v>#NUM!</v>
      </c>
      <c r="L200" s="67" t="e">
        <f t="shared" si="19"/>
        <v>#NUM!</v>
      </c>
      <c r="M200" s="85" t="e">
        <f t="shared" si="18"/>
        <v>#NUM!</v>
      </c>
      <c r="N200" s="39">
        <v>199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7.25" thickTop="1" thickBot="1">
      <c r="B201">
        <f>wyniki!B240</f>
        <v>0</v>
      </c>
      <c r="C201" s="19">
        <f>wyniki!K240</f>
        <v>0</v>
      </c>
      <c r="D201" s="18">
        <v>-2E-3</v>
      </c>
      <c r="E201" s="19" t="b">
        <f t="shared" si="15"/>
        <v>0</v>
      </c>
      <c r="F201">
        <f>wyniki!$A$238</f>
        <v>0</v>
      </c>
      <c r="G201" s="19">
        <f t="shared" si="16"/>
        <v>0</v>
      </c>
      <c r="J201" s="93" t="e">
        <f t="shared" si="17"/>
        <v>#NUM!</v>
      </c>
      <c r="K201" s="80" t="e">
        <f>-LARGE($E$2:$E$241,200)</f>
        <v>#NUM!</v>
      </c>
      <c r="L201" s="67" t="e">
        <f t="shared" si="19"/>
        <v>#NUM!</v>
      </c>
      <c r="M201" s="85" t="e">
        <f t="shared" si="18"/>
        <v>#NUM!</v>
      </c>
      <c r="N201" s="39">
        <v>200</v>
      </c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7.25" thickTop="1" thickBot="1">
      <c r="B202">
        <f>wyniki!B241</f>
        <v>0</v>
      </c>
      <c r="C202" s="19">
        <f>wyniki!K241</f>
        <v>0</v>
      </c>
      <c r="D202" s="18">
        <v>-2.0100000000000001E-3</v>
      </c>
      <c r="E202" s="19" t="b">
        <f t="shared" si="15"/>
        <v>0</v>
      </c>
      <c r="F202">
        <f>wyniki!$A$238</f>
        <v>0</v>
      </c>
      <c r="G202" s="19">
        <f t="shared" si="16"/>
        <v>0</v>
      </c>
      <c r="J202" s="93" t="e">
        <f t="shared" si="17"/>
        <v>#NUM!</v>
      </c>
      <c r="K202" s="80" t="e">
        <f>-LARGE($E$2:$E$241,201)</f>
        <v>#NUM!</v>
      </c>
      <c r="L202" s="67" t="e">
        <f t="shared" si="19"/>
        <v>#NUM!</v>
      </c>
      <c r="M202" s="85" t="e">
        <f t="shared" si="18"/>
        <v>#NUM!</v>
      </c>
      <c r="N202" s="39">
        <v>201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7.25" thickTop="1" thickBot="1">
      <c r="B203">
        <f>wyniki!B242</f>
        <v>0</v>
      </c>
      <c r="C203" s="19">
        <f>wyniki!K242</f>
        <v>0</v>
      </c>
      <c r="D203" s="18">
        <v>-2.0200000000000001E-3</v>
      </c>
      <c r="E203" s="19" t="b">
        <f t="shared" si="15"/>
        <v>0</v>
      </c>
      <c r="F203">
        <f>wyniki!$A$238</f>
        <v>0</v>
      </c>
      <c r="G203" s="19">
        <f t="shared" si="16"/>
        <v>0</v>
      </c>
      <c r="J203" s="93" t="e">
        <f t="shared" si="17"/>
        <v>#NUM!</v>
      </c>
      <c r="K203" s="80" t="e">
        <f>-LARGE($E$2:$E$241,202)</f>
        <v>#NUM!</v>
      </c>
      <c r="L203" s="67" t="e">
        <f t="shared" si="19"/>
        <v>#NUM!</v>
      </c>
      <c r="M203" s="85" t="e">
        <f t="shared" si="18"/>
        <v>#NUM!</v>
      </c>
      <c r="N203" s="39">
        <v>202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7.25" thickTop="1" thickBot="1">
      <c r="B204">
        <f>wyniki!B243</f>
        <v>0</v>
      </c>
      <c r="C204" s="19">
        <f>wyniki!K243</f>
        <v>0</v>
      </c>
      <c r="D204" s="18">
        <v>-2.0300000000000001E-3</v>
      </c>
      <c r="E204" s="19" t="b">
        <f t="shared" si="15"/>
        <v>0</v>
      </c>
      <c r="F204">
        <f>wyniki!$A$238</f>
        <v>0</v>
      </c>
      <c r="G204" s="19">
        <f t="shared" si="16"/>
        <v>0</v>
      </c>
      <c r="J204" s="93" t="e">
        <f t="shared" si="17"/>
        <v>#NUM!</v>
      </c>
      <c r="K204" s="80" t="e">
        <f>-LARGE($E$2:$E$241,203)</f>
        <v>#NUM!</v>
      </c>
      <c r="L204" s="67" t="e">
        <f t="shared" si="19"/>
        <v>#NUM!</v>
      </c>
      <c r="M204" s="85" t="e">
        <f t="shared" si="18"/>
        <v>#NUM!</v>
      </c>
      <c r="N204" s="39">
        <v>203</v>
      </c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7.25" thickTop="1" thickBot="1">
      <c r="B205">
        <f>wyniki!B244</f>
        <v>0</v>
      </c>
      <c r="C205" s="19">
        <f>wyniki!K244</f>
        <v>0</v>
      </c>
      <c r="D205" s="18">
        <v>-2.0400000000000001E-3</v>
      </c>
      <c r="E205" s="19" t="b">
        <f t="shared" si="15"/>
        <v>0</v>
      </c>
      <c r="F205">
        <f>wyniki!$A$238</f>
        <v>0</v>
      </c>
      <c r="G205" s="19">
        <f t="shared" si="16"/>
        <v>0</v>
      </c>
      <c r="J205" s="93" t="e">
        <f t="shared" si="17"/>
        <v>#NUM!</v>
      </c>
      <c r="K205" s="80" t="e">
        <f>-LARGE($E$2:$E$241,204)</f>
        <v>#NUM!</v>
      </c>
      <c r="L205" s="67" t="e">
        <f t="shared" si="19"/>
        <v>#NUM!</v>
      </c>
      <c r="M205" s="85" t="e">
        <f t="shared" si="18"/>
        <v>#NUM!</v>
      </c>
      <c r="N205" s="39">
        <v>204</v>
      </c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7.25" thickTop="1" thickBot="1">
      <c r="B206">
        <f>wyniki!B246</f>
        <v>0</v>
      </c>
      <c r="C206" s="19">
        <f>wyniki!K246</f>
        <v>0</v>
      </c>
      <c r="D206" s="18">
        <v>-2.0500000000000002E-3</v>
      </c>
      <c r="E206" s="19" t="b">
        <f t="shared" si="15"/>
        <v>0</v>
      </c>
      <c r="F206">
        <f>wyniki!$A$245</f>
        <v>0</v>
      </c>
      <c r="G206" s="19">
        <f t="shared" si="16"/>
        <v>0</v>
      </c>
      <c r="J206" s="93" t="e">
        <f t="shared" si="17"/>
        <v>#NUM!</v>
      </c>
      <c r="K206" s="80" t="e">
        <f>-LARGE($E$2:$E$241,205)</f>
        <v>#NUM!</v>
      </c>
      <c r="L206" s="67" t="e">
        <f t="shared" si="19"/>
        <v>#NUM!</v>
      </c>
      <c r="M206" s="85" t="e">
        <f t="shared" si="18"/>
        <v>#NUM!</v>
      </c>
      <c r="N206" s="39">
        <v>205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7.25" thickTop="1" thickBot="1">
      <c r="B207">
        <f>wyniki!B247</f>
        <v>0</v>
      </c>
      <c r="C207" s="19">
        <f>wyniki!K247</f>
        <v>0</v>
      </c>
      <c r="D207" s="18">
        <v>-2.0600000000000002E-3</v>
      </c>
      <c r="E207" s="19" t="b">
        <f t="shared" si="15"/>
        <v>0</v>
      </c>
      <c r="F207">
        <f>wyniki!$A$245</f>
        <v>0</v>
      </c>
      <c r="G207" s="19">
        <f t="shared" si="16"/>
        <v>0</v>
      </c>
      <c r="J207" s="93" t="e">
        <f t="shared" si="17"/>
        <v>#NUM!</v>
      </c>
      <c r="K207" s="80" t="e">
        <f>-LARGE($E$2:$E$241,206)</f>
        <v>#NUM!</v>
      </c>
      <c r="L207" s="67" t="e">
        <f t="shared" si="19"/>
        <v>#NUM!</v>
      </c>
      <c r="M207" s="85" t="e">
        <f t="shared" si="18"/>
        <v>#NUM!</v>
      </c>
      <c r="N207" s="39">
        <v>206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7.25" thickTop="1" thickBot="1">
      <c r="B208">
        <f>wyniki!B248</f>
        <v>0</v>
      </c>
      <c r="C208" s="19">
        <f>wyniki!K248</f>
        <v>0</v>
      </c>
      <c r="D208" s="18">
        <v>-2.0699999999999998E-3</v>
      </c>
      <c r="E208" s="19" t="b">
        <f t="shared" si="15"/>
        <v>0</v>
      </c>
      <c r="F208">
        <f>wyniki!$A$245</f>
        <v>0</v>
      </c>
      <c r="G208" s="19">
        <f t="shared" si="16"/>
        <v>0</v>
      </c>
      <c r="J208" s="93" t="e">
        <f t="shared" si="17"/>
        <v>#NUM!</v>
      </c>
      <c r="K208" s="80" t="e">
        <f>-LARGE($E$2:$E$241,207)</f>
        <v>#NUM!</v>
      </c>
      <c r="L208" s="67" t="e">
        <f t="shared" si="19"/>
        <v>#NUM!</v>
      </c>
      <c r="M208" s="85" t="e">
        <f t="shared" si="18"/>
        <v>#NUM!</v>
      </c>
      <c r="N208" s="39">
        <v>207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7.25" thickTop="1" thickBot="1">
      <c r="B209">
        <f>wyniki!B249</f>
        <v>0</v>
      </c>
      <c r="C209" s="19">
        <f>wyniki!K249</f>
        <v>0</v>
      </c>
      <c r="D209" s="18">
        <v>-2.0799999999999998E-3</v>
      </c>
      <c r="E209" s="19" t="b">
        <f t="shared" si="15"/>
        <v>0</v>
      </c>
      <c r="F209">
        <f>wyniki!$A$245</f>
        <v>0</v>
      </c>
      <c r="G209" s="19">
        <f t="shared" si="16"/>
        <v>0</v>
      </c>
      <c r="J209" s="93" t="e">
        <f t="shared" si="17"/>
        <v>#NUM!</v>
      </c>
      <c r="K209" s="80" t="e">
        <f>-LARGE($E$2:$E$241,208)</f>
        <v>#NUM!</v>
      </c>
      <c r="L209" s="67" t="e">
        <f t="shared" si="19"/>
        <v>#NUM!</v>
      </c>
      <c r="M209" s="85" t="e">
        <f t="shared" si="18"/>
        <v>#NUM!</v>
      </c>
      <c r="N209" s="39">
        <v>208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7.25" thickTop="1" thickBot="1">
      <c r="B210">
        <f>wyniki!B250</f>
        <v>0</v>
      </c>
      <c r="C210" s="19">
        <f>wyniki!K250</f>
        <v>0</v>
      </c>
      <c r="D210" s="18">
        <v>-2.0899999999999998E-3</v>
      </c>
      <c r="E210" s="19" t="b">
        <f t="shared" si="15"/>
        <v>0</v>
      </c>
      <c r="F210">
        <f>wyniki!$A$245</f>
        <v>0</v>
      </c>
      <c r="G210" s="19">
        <f t="shared" si="16"/>
        <v>0</v>
      </c>
      <c r="J210" s="93" t="e">
        <f t="shared" si="17"/>
        <v>#NUM!</v>
      </c>
      <c r="K210" s="80" t="e">
        <f>-LARGE($E$2:$E$241,209)</f>
        <v>#NUM!</v>
      </c>
      <c r="L210" s="67" t="e">
        <f t="shared" si="19"/>
        <v>#NUM!</v>
      </c>
      <c r="M210" s="85" t="e">
        <f t="shared" si="18"/>
        <v>#NUM!</v>
      </c>
      <c r="N210" s="39">
        <v>209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7.25" thickTop="1" thickBot="1">
      <c r="B211">
        <f>wyniki!B251</f>
        <v>0</v>
      </c>
      <c r="C211" s="19">
        <f>wyniki!K251</f>
        <v>0</v>
      </c>
      <c r="D211" s="18">
        <v>-2.0999999999999999E-3</v>
      </c>
      <c r="E211" s="19" t="b">
        <f t="shared" si="15"/>
        <v>0</v>
      </c>
      <c r="F211">
        <f>wyniki!$A$245</f>
        <v>0</v>
      </c>
      <c r="G211" s="19">
        <f t="shared" si="16"/>
        <v>0</v>
      </c>
      <c r="J211" s="93" t="e">
        <f t="shared" si="17"/>
        <v>#NUM!</v>
      </c>
      <c r="K211" s="80" t="e">
        <f>-LARGE($E$2:$E$241,210)</f>
        <v>#NUM!</v>
      </c>
      <c r="L211" s="67" t="e">
        <f t="shared" si="19"/>
        <v>#NUM!</v>
      </c>
      <c r="M211" s="85" t="e">
        <f t="shared" si="18"/>
        <v>#NUM!</v>
      </c>
      <c r="N211" s="39">
        <v>210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7.25" thickTop="1" thickBot="1">
      <c r="B212">
        <f>wyniki!B253</f>
        <v>0</v>
      </c>
      <c r="C212" s="19">
        <f>wyniki!K253</f>
        <v>0</v>
      </c>
      <c r="D212" s="18">
        <v>-2.1099999999999999E-3</v>
      </c>
      <c r="E212" s="19" t="b">
        <f t="shared" si="15"/>
        <v>0</v>
      </c>
      <c r="F212">
        <f>wyniki!$A$252</f>
        <v>0</v>
      </c>
      <c r="G212" s="19">
        <f t="shared" si="16"/>
        <v>0</v>
      </c>
      <c r="J212" s="93" t="e">
        <f t="shared" si="17"/>
        <v>#NUM!</v>
      </c>
      <c r="K212" s="80" t="e">
        <f>-LARGE($E$2:$E$241,211)</f>
        <v>#NUM!</v>
      </c>
      <c r="L212" s="67" t="e">
        <f t="shared" si="19"/>
        <v>#NUM!</v>
      </c>
      <c r="M212" s="85" t="e">
        <f t="shared" si="18"/>
        <v>#NUM!</v>
      </c>
      <c r="N212" s="39">
        <v>211</v>
      </c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7.25" thickTop="1" thickBot="1">
      <c r="B213">
        <f>wyniki!B254</f>
        <v>0</v>
      </c>
      <c r="C213" s="19">
        <f>wyniki!K254</f>
        <v>0</v>
      </c>
      <c r="D213" s="18">
        <v>-2.1199999999999999E-3</v>
      </c>
      <c r="E213" s="19" t="b">
        <f t="shared" si="15"/>
        <v>0</v>
      </c>
      <c r="F213">
        <f>wyniki!$A$252</f>
        <v>0</v>
      </c>
      <c r="G213" s="19">
        <f t="shared" si="16"/>
        <v>0</v>
      </c>
      <c r="J213" s="93" t="e">
        <f t="shared" si="17"/>
        <v>#NUM!</v>
      </c>
      <c r="K213" s="80" t="e">
        <f>-LARGE($E$2:$E$241,212)</f>
        <v>#NUM!</v>
      </c>
      <c r="L213" s="67" t="e">
        <f t="shared" si="19"/>
        <v>#NUM!</v>
      </c>
      <c r="M213" s="85" t="e">
        <f t="shared" si="18"/>
        <v>#NUM!</v>
      </c>
      <c r="N213" s="39">
        <v>212</v>
      </c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7.25" thickTop="1" thickBot="1">
      <c r="B214">
        <f>wyniki!B255</f>
        <v>0</v>
      </c>
      <c r="C214" s="19">
        <f>wyniki!K255</f>
        <v>0</v>
      </c>
      <c r="D214" s="18">
        <v>-2.1299999999999999E-3</v>
      </c>
      <c r="E214" s="19" t="b">
        <f t="shared" si="15"/>
        <v>0</v>
      </c>
      <c r="F214">
        <f>wyniki!$A$252</f>
        <v>0</v>
      </c>
      <c r="G214" s="19">
        <f t="shared" si="16"/>
        <v>0</v>
      </c>
      <c r="J214" s="93" t="e">
        <f t="shared" si="17"/>
        <v>#NUM!</v>
      </c>
      <c r="K214" s="80" t="e">
        <f>-LARGE($E$2:$E$241,213)</f>
        <v>#NUM!</v>
      </c>
      <c r="L214" s="67" t="e">
        <f t="shared" si="19"/>
        <v>#NUM!</v>
      </c>
      <c r="M214" s="85" t="e">
        <f t="shared" si="18"/>
        <v>#NUM!</v>
      </c>
      <c r="N214" s="39">
        <v>213</v>
      </c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7.25" thickTop="1" thickBot="1">
      <c r="B215">
        <f>wyniki!B256</f>
        <v>0</v>
      </c>
      <c r="C215" s="19">
        <f>wyniki!K256</f>
        <v>0</v>
      </c>
      <c r="D215" s="18">
        <v>-2.14E-3</v>
      </c>
      <c r="E215" s="19" t="b">
        <f t="shared" si="15"/>
        <v>0</v>
      </c>
      <c r="F215">
        <f>wyniki!$A$252</f>
        <v>0</v>
      </c>
      <c r="G215" s="19">
        <f t="shared" si="16"/>
        <v>0</v>
      </c>
      <c r="J215" s="93" t="e">
        <f t="shared" si="17"/>
        <v>#NUM!</v>
      </c>
      <c r="K215" s="80" t="e">
        <f>-LARGE($E$2:$E$241,214)</f>
        <v>#NUM!</v>
      </c>
      <c r="L215" s="67" t="e">
        <f t="shared" si="19"/>
        <v>#NUM!</v>
      </c>
      <c r="M215" s="85" t="e">
        <f t="shared" si="18"/>
        <v>#NUM!</v>
      </c>
      <c r="N215" s="39">
        <v>214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7.25" thickTop="1" thickBot="1">
      <c r="B216">
        <f>wyniki!B257</f>
        <v>0</v>
      </c>
      <c r="C216" s="19">
        <f>wyniki!K257</f>
        <v>0</v>
      </c>
      <c r="D216" s="18">
        <v>-2.15E-3</v>
      </c>
      <c r="E216" s="19" t="b">
        <f t="shared" si="15"/>
        <v>0</v>
      </c>
      <c r="F216">
        <f>wyniki!$A$252</f>
        <v>0</v>
      </c>
      <c r="G216" s="19">
        <f t="shared" si="16"/>
        <v>0</v>
      </c>
      <c r="J216" s="93" t="e">
        <f t="shared" si="17"/>
        <v>#NUM!</v>
      </c>
      <c r="K216" s="80" t="e">
        <f>-LARGE($E$2:$E$241,215)</f>
        <v>#NUM!</v>
      </c>
      <c r="L216" s="67" t="e">
        <f t="shared" si="19"/>
        <v>#NUM!</v>
      </c>
      <c r="M216" s="85" t="e">
        <f t="shared" si="18"/>
        <v>#NUM!</v>
      </c>
      <c r="N216" s="39">
        <v>215</v>
      </c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7.25" thickTop="1" thickBot="1">
      <c r="B217">
        <f>wyniki!B258</f>
        <v>0</v>
      </c>
      <c r="C217" s="19">
        <f>wyniki!K258</f>
        <v>0</v>
      </c>
      <c r="D217" s="18">
        <v>-2.16E-3</v>
      </c>
      <c r="E217" s="19" t="b">
        <f t="shared" si="15"/>
        <v>0</v>
      </c>
      <c r="F217">
        <f>wyniki!$A$252</f>
        <v>0</v>
      </c>
      <c r="G217" s="19">
        <f t="shared" si="16"/>
        <v>0</v>
      </c>
      <c r="J217" s="93" t="e">
        <f t="shared" si="17"/>
        <v>#NUM!</v>
      </c>
      <c r="K217" s="80" t="e">
        <f>-LARGE($E$2:$E$241,216)</f>
        <v>#NUM!</v>
      </c>
      <c r="L217" s="67" t="e">
        <f t="shared" si="19"/>
        <v>#NUM!</v>
      </c>
      <c r="M217" s="85" t="e">
        <f t="shared" si="18"/>
        <v>#NUM!</v>
      </c>
      <c r="N217" s="39">
        <v>216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7.25" thickTop="1" thickBot="1">
      <c r="B218">
        <f>wyniki!B260</f>
        <v>0</v>
      </c>
      <c r="C218" s="19">
        <f>wyniki!K260</f>
        <v>0</v>
      </c>
      <c r="D218" s="18">
        <v>-2.1700000000000001E-3</v>
      </c>
      <c r="E218" s="19" t="b">
        <f t="shared" si="15"/>
        <v>0</v>
      </c>
      <c r="F218">
        <f>wyniki!$A$259</f>
        <v>0</v>
      </c>
      <c r="G218" s="19">
        <f t="shared" si="16"/>
        <v>0</v>
      </c>
      <c r="J218" s="93" t="e">
        <f t="shared" si="17"/>
        <v>#NUM!</v>
      </c>
      <c r="K218" s="80" t="e">
        <f>-LARGE($E$2:$E$241,217)</f>
        <v>#NUM!</v>
      </c>
      <c r="L218" s="67" t="e">
        <f t="shared" si="19"/>
        <v>#NUM!</v>
      </c>
      <c r="M218" s="85" t="e">
        <f t="shared" si="18"/>
        <v>#NUM!</v>
      </c>
      <c r="N218" s="39">
        <v>217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7.25" thickTop="1" thickBot="1">
      <c r="B219">
        <f>wyniki!B261</f>
        <v>0</v>
      </c>
      <c r="C219" s="19">
        <f>wyniki!K261</f>
        <v>0</v>
      </c>
      <c r="D219" s="18">
        <v>-2.1800000000000001E-3</v>
      </c>
      <c r="E219" s="19" t="b">
        <f t="shared" si="15"/>
        <v>0</v>
      </c>
      <c r="F219">
        <f>wyniki!$A$259</f>
        <v>0</v>
      </c>
      <c r="G219" s="19">
        <f t="shared" si="16"/>
        <v>0</v>
      </c>
      <c r="J219" s="93" t="e">
        <f t="shared" si="17"/>
        <v>#NUM!</v>
      </c>
      <c r="K219" s="80" t="e">
        <f>-LARGE($E$2:$E$241,218)</f>
        <v>#NUM!</v>
      </c>
      <c r="L219" s="67" t="e">
        <f t="shared" si="19"/>
        <v>#NUM!</v>
      </c>
      <c r="M219" s="85" t="e">
        <f t="shared" si="18"/>
        <v>#NUM!</v>
      </c>
      <c r="N219" s="39">
        <v>218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7.25" thickTop="1" thickBot="1">
      <c r="B220">
        <f>wyniki!B262</f>
        <v>0</v>
      </c>
      <c r="C220" s="19">
        <f>wyniki!K262</f>
        <v>0</v>
      </c>
      <c r="D220" s="18">
        <v>-2.1900000000000001E-3</v>
      </c>
      <c r="E220" s="19" t="b">
        <f t="shared" si="15"/>
        <v>0</v>
      </c>
      <c r="F220">
        <f>wyniki!$A$259</f>
        <v>0</v>
      </c>
      <c r="G220" s="19">
        <f t="shared" si="16"/>
        <v>0</v>
      </c>
      <c r="J220" s="93" t="e">
        <f t="shared" si="17"/>
        <v>#NUM!</v>
      </c>
      <c r="K220" s="80" t="e">
        <f>-LARGE($E$2:$E$241,219)</f>
        <v>#NUM!</v>
      </c>
      <c r="L220" s="67" t="e">
        <f t="shared" si="19"/>
        <v>#NUM!</v>
      </c>
      <c r="M220" s="85" t="e">
        <f t="shared" si="18"/>
        <v>#NUM!</v>
      </c>
      <c r="N220" s="39">
        <v>219</v>
      </c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7.25" thickTop="1" thickBot="1">
      <c r="B221">
        <f>wyniki!B263</f>
        <v>0</v>
      </c>
      <c r="C221" s="19">
        <f>wyniki!K263</f>
        <v>0</v>
      </c>
      <c r="D221" s="18">
        <v>-2.2000000000000001E-3</v>
      </c>
      <c r="E221" s="19" t="b">
        <f t="shared" si="15"/>
        <v>0</v>
      </c>
      <c r="F221">
        <f>wyniki!$A$259</f>
        <v>0</v>
      </c>
      <c r="G221" s="19">
        <f t="shared" si="16"/>
        <v>0</v>
      </c>
      <c r="J221" s="93" t="e">
        <f t="shared" si="17"/>
        <v>#NUM!</v>
      </c>
      <c r="K221" s="80" t="e">
        <f>-LARGE($E$2:$E$241,220)</f>
        <v>#NUM!</v>
      </c>
      <c r="L221" s="67" t="e">
        <f t="shared" si="19"/>
        <v>#NUM!</v>
      </c>
      <c r="M221" s="85" t="e">
        <f t="shared" si="18"/>
        <v>#NUM!</v>
      </c>
      <c r="N221" s="39">
        <v>220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7.25" thickTop="1" thickBot="1">
      <c r="B222">
        <f>wyniki!B264</f>
        <v>0</v>
      </c>
      <c r="C222" s="19">
        <f>wyniki!K264</f>
        <v>0</v>
      </c>
      <c r="D222" s="18">
        <v>-2.2100000000000002E-3</v>
      </c>
      <c r="E222" s="19" t="b">
        <f t="shared" si="15"/>
        <v>0</v>
      </c>
      <c r="F222">
        <f>wyniki!$A$259</f>
        <v>0</v>
      </c>
      <c r="G222" s="19">
        <f t="shared" si="16"/>
        <v>0</v>
      </c>
      <c r="J222" s="93" t="e">
        <f t="shared" si="17"/>
        <v>#NUM!</v>
      </c>
      <c r="K222" s="80" t="e">
        <f>-LARGE($E$2:$E$241,221)</f>
        <v>#NUM!</v>
      </c>
      <c r="L222" s="67" t="e">
        <f t="shared" si="19"/>
        <v>#NUM!</v>
      </c>
      <c r="M222" s="85" t="e">
        <f t="shared" si="18"/>
        <v>#NUM!</v>
      </c>
      <c r="N222" s="39">
        <v>221</v>
      </c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7.25" thickTop="1" thickBot="1">
      <c r="B223">
        <f>wyniki!B265</f>
        <v>0</v>
      </c>
      <c r="C223" s="19">
        <f>wyniki!K265</f>
        <v>0</v>
      </c>
      <c r="D223" s="18">
        <v>-2.2200000000000002E-3</v>
      </c>
      <c r="E223" s="19" t="b">
        <f t="shared" si="15"/>
        <v>0</v>
      </c>
      <c r="F223">
        <f>wyniki!$A$259</f>
        <v>0</v>
      </c>
      <c r="G223" s="19">
        <f t="shared" si="16"/>
        <v>0</v>
      </c>
      <c r="J223" s="93" t="e">
        <f t="shared" si="17"/>
        <v>#NUM!</v>
      </c>
      <c r="K223" s="80" t="e">
        <f>-LARGE($E$2:$E$241,222)</f>
        <v>#NUM!</v>
      </c>
      <c r="L223" s="67" t="e">
        <f t="shared" si="19"/>
        <v>#NUM!</v>
      </c>
      <c r="M223" s="85" t="e">
        <f t="shared" si="18"/>
        <v>#NUM!</v>
      </c>
      <c r="N223" s="39">
        <v>222</v>
      </c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7.25" thickTop="1" thickBot="1">
      <c r="B224">
        <f>wyniki!B267</f>
        <v>0</v>
      </c>
      <c r="C224" s="19">
        <f>wyniki!K267</f>
        <v>0</v>
      </c>
      <c r="D224" s="18">
        <v>-2.2300000000000002E-3</v>
      </c>
      <c r="E224" s="19" t="b">
        <f t="shared" si="15"/>
        <v>0</v>
      </c>
      <c r="F224">
        <f>wyniki!$A$266</f>
        <v>0</v>
      </c>
      <c r="G224" s="19">
        <f t="shared" si="16"/>
        <v>0</v>
      </c>
      <c r="J224" s="93" t="e">
        <f t="shared" si="17"/>
        <v>#NUM!</v>
      </c>
      <c r="K224" s="80" t="e">
        <f>-LARGE($E$2:$E$241,223)</f>
        <v>#NUM!</v>
      </c>
      <c r="L224" s="67" t="e">
        <f t="shared" si="19"/>
        <v>#NUM!</v>
      </c>
      <c r="M224" s="85" t="e">
        <f t="shared" si="18"/>
        <v>#NUM!</v>
      </c>
      <c r="N224" s="39">
        <v>223</v>
      </c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7.25" thickTop="1" thickBot="1">
      <c r="B225">
        <f>wyniki!B268</f>
        <v>0</v>
      </c>
      <c r="C225" s="19">
        <f>wyniki!K268</f>
        <v>0</v>
      </c>
      <c r="D225" s="18">
        <v>-2.2399999999999998E-3</v>
      </c>
      <c r="E225" s="19" t="b">
        <f t="shared" si="15"/>
        <v>0</v>
      </c>
      <c r="F225">
        <f>wyniki!$A$266</f>
        <v>0</v>
      </c>
      <c r="G225" s="19">
        <f t="shared" si="16"/>
        <v>0</v>
      </c>
      <c r="J225" s="93" t="e">
        <f t="shared" si="17"/>
        <v>#NUM!</v>
      </c>
      <c r="K225" s="80" t="e">
        <f>-LARGE($E$2:$E$241,224)</f>
        <v>#NUM!</v>
      </c>
      <c r="L225" s="67" t="e">
        <f t="shared" si="19"/>
        <v>#NUM!</v>
      </c>
      <c r="M225" s="85" t="e">
        <f t="shared" si="18"/>
        <v>#NUM!</v>
      </c>
      <c r="N225" s="39">
        <v>224</v>
      </c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7.25" thickTop="1" thickBot="1">
      <c r="B226">
        <f>wyniki!B269</f>
        <v>0</v>
      </c>
      <c r="C226" s="19">
        <f>wyniki!K269</f>
        <v>0</v>
      </c>
      <c r="D226" s="18">
        <v>-2.2499999999999998E-3</v>
      </c>
      <c r="E226" s="19" t="b">
        <f t="shared" si="15"/>
        <v>0</v>
      </c>
      <c r="F226">
        <f>wyniki!$A$266</f>
        <v>0</v>
      </c>
      <c r="G226" s="19">
        <f t="shared" si="16"/>
        <v>0</v>
      </c>
      <c r="J226" s="93" t="e">
        <f t="shared" si="17"/>
        <v>#NUM!</v>
      </c>
      <c r="K226" s="80" t="e">
        <f>-LARGE($E$2:$E$241,225)</f>
        <v>#NUM!</v>
      </c>
      <c r="L226" s="67" t="e">
        <f t="shared" si="19"/>
        <v>#NUM!</v>
      </c>
      <c r="M226" s="85" t="e">
        <f t="shared" si="18"/>
        <v>#NUM!</v>
      </c>
      <c r="N226" s="39">
        <v>225</v>
      </c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7.25" thickTop="1" thickBot="1">
      <c r="B227">
        <f>wyniki!B270</f>
        <v>0</v>
      </c>
      <c r="C227" s="19">
        <f>wyniki!K270</f>
        <v>0</v>
      </c>
      <c r="D227" s="18">
        <v>-2.2599999999999999E-3</v>
      </c>
      <c r="E227" s="19" t="b">
        <f t="shared" si="15"/>
        <v>0</v>
      </c>
      <c r="F227">
        <f>wyniki!$A$266</f>
        <v>0</v>
      </c>
      <c r="G227" s="19">
        <f t="shared" si="16"/>
        <v>0</v>
      </c>
      <c r="J227" s="93" t="e">
        <f t="shared" si="17"/>
        <v>#NUM!</v>
      </c>
      <c r="K227" s="80" t="e">
        <f>-LARGE($E$2:$E$241,226)</f>
        <v>#NUM!</v>
      </c>
      <c r="L227" s="67" t="e">
        <f t="shared" si="19"/>
        <v>#NUM!</v>
      </c>
      <c r="M227" s="85" t="e">
        <f t="shared" si="18"/>
        <v>#NUM!</v>
      </c>
      <c r="N227" s="39">
        <v>226</v>
      </c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7.25" thickTop="1" thickBot="1">
      <c r="B228">
        <f>wyniki!B271</f>
        <v>0</v>
      </c>
      <c r="C228" s="19">
        <f>wyniki!K271</f>
        <v>0</v>
      </c>
      <c r="D228" s="18">
        <v>-2.2699999999999999E-3</v>
      </c>
      <c r="E228" s="19" t="b">
        <f t="shared" si="15"/>
        <v>0</v>
      </c>
      <c r="F228">
        <f>wyniki!$A$266</f>
        <v>0</v>
      </c>
      <c r="G228" s="19">
        <f t="shared" si="16"/>
        <v>0</v>
      </c>
      <c r="J228" s="93" t="e">
        <f t="shared" si="17"/>
        <v>#NUM!</v>
      </c>
      <c r="K228" s="80" t="e">
        <f>-LARGE($E$2:$E$241,227)</f>
        <v>#NUM!</v>
      </c>
      <c r="L228" s="67" t="e">
        <f t="shared" si="19"/>
        <v>#NUM!</v>
      </c>
      <c r="M228" s="85" t="e">
        <f t="shared" si="18"/>
        <v>#NUM!</v>
      </c>
      <c r="N228" s="39">
        <v>227</v>
      </c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7.25" thickTop="1" thickBot="1">
      <c r="B229">
        <f>wyniki!B272</f>
        <v>0</v>
      </c>
      <c r="C229" s="19">
        <f>wyniki!K272</f>
        <v>0</v>
      </c>
      <c r="D229" s="18">
        <v>-2.2799999999999999E-3</v>
      </c>
      <c r="E229" s="19" t="b">
        <f t="shared" si="15"/>
        <v>0</v>
      </c>
      <c r="F229">
        <f>wyniki!$A$266</f>
        <v>0</v>
      </c>
      <c r="G229" s="19">
        <f t="shared" si="16"/>
        <v>0</v>
      </c>
      <c r="J229" s="93" t="e">
        <f t="shared" si="17"/>
        <v>#NUM!</v>
      </c>
      <c r="K229" s="80" t="e">
        <f>-LARGE($E$2:$E$241,228)</f>
        <v>#NUM!</v>
      </c>
      <c r="L229" s="67" t="e">
        <f t="shared" si="19"/>
        <v>#NUM!</v>
      </c>
      <c r="M229" s="85" t="e">
        <f t="shared" si="18"/>
        <v>#NUM!</v>
      </c>
      <c r="N229" s="39">
        <v>228</v>
      </c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7.25" thickTop="1" thickBot="1">
      <c r="B230">
        <f>wyniki!B274</f>
        <v>0</v>
      </c>
      <c r="C230" s="19">
        <f>wyniki!K274</f>
        <v>0</v>
      </c>
      <c r="D230" s="18">
        <v>-2.2899999999999999E-3</v>
      </c>
      <c r="E230" s="19" t="b">
        <f t="shared" si="15"/>
        <v>0</v>
      </c>
      <c r="F230">
        <f>wyniki!$A$273</f>
        <v>0</v>
      </c>
      <c r="G230" s="19">
        <f t="shared" si="16"/>
        <v>0</v>
      </c>
      <c r="J230" s="93" t="e">
        <f t="shared" si="17"/>
        <v>#NUM!</v>
      </c>
      <c r="K230" s="80" t="e">
        <f>-LARGE($E$2:$E$241,229)</f>
        <v>#NUM!</v>
      </c>
      <c r="L230" s="67" t="e">
        <f t="shared" si="19"/>
        <v>#NUM!</v>
      </c>
      <c r="M230" s="85" t="e">
        <f t="shared" si="18"/>
        <v>#NUM!</v>
      </c>
      <c r="N230" s="39">
        <v>229</v>
      </c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7.25" thickTop="1" thickBot="1">
      <c r="B231">
        <f>wyniki!B275</f>
        <v>0</v>
      </c>
      <c r="C231" s="19">
        <f>wyniki!K275</f>
        <v>0</v>
      </c>
      <c r="D231" s="18">
        <v>-2.3E-3</v>
      </c>
      <c r="E231" s="19" t="b">
        <f t="shared" si="15"/>
        <v>0</v>
      </c>
      <c r="F231">
        <f>wyniki!$A$273</f>
        <v>0</v>
      </c>
      <c r="G231" s="19">
        <f t="shared" si="16"/>
        <v>0</v>
      </c>
      <c r="J231" s="93" t="e">
        <f t="shared" si="17"/>
        <v>#NUM!</v>
      </c>
      <c r="K231" s="80" t="e">
        <f>-LARGE($E$2:$E$241,230)</f>
        <v>#NUM!</v>
      </c>
      <c r="L231" s="67" t="e">
        <f t="shared" si="19"/>
        <v>#NUM!</v>
      </c>
      <c r="M231" s="85" t="e">
        <f t="shared" si="18"/>
        <v>#NUM!</v>
      </c>
      <c r="N231" s="39">
        <v>230</v>
      </c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7.25" thickTop="1" thickBot="1">
      <c r="B232">
        <f>wyniki!B276</f>
        <v>0</v>
      </c>
      <c r="C232" s="19">
        <f>wyniki!K276</f>
        <v>0</v>
      </c>
      <c r="D232" s="18">
        <v>-2.31E-3</v>
      </c>
      <c r="E232" s="19" t="b">
        <f t="shared" si="15"/>
        <v>0</v>
      </c>
      <c r="F232">
        <f>wyniki!$A$273</f>
        <v>0</v>
      </c>
      <c r="G232" s="19">
        <f t="shared" si="16"/>
        <v>0</v>
      </c>
      <c r="J232" s="93" t="e">
        <f t="shared" si="17"/>
        <v>#NUM!</v>
      </c>
      <c r="K232" s="80" t="e">
        <f>-LARGE($E$2:$E$241,231)</f>
        <v>#NUM!</v>
      </c>
      <c r="L232" s="67" t="e">
        <f t="shared" si="19"/>
        <v>#NUM!</v>
      </c>
      <c r="M232" s="85" t="e">
        <f t="shared" si="18"/>
        <v>#NUM!</v>
      </c>
      <c r="N232" s="39">
        <v>231</v>
      </c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7.25" thickTop="1" thickBot="1">
      <c r="B233">
        <f>wyniki!B277</f>
        <v>0</v>
      </c>
      <c r="C233" s="19">
        <f>wyniki!K277</f>
        <v>0</v>
      </c>
      <c r="D233" s="18">
        <v>-2.32E-3</v>
      </c>
      <c r="E233" s="19" t="b">
        <f t="shared" si="15"/>
        <v>0</v>
      </c>
      <c r="F233">
        <f>wyniki!$A$273</f>
        <v>0</v>
      </c>
      <c r="G233" s="19">
        <f t="shared" si="16"/>
        <v>0</v>
      </c>
      <c r="J233" s="93" t="e">
        <f t="shared" si="17"/>
        <v>#NUM!</v>
      </c>
      <c r="K233" s="80" t="e">
        <f>-LARGE($E$2:$E$241,232)</f>
        <v>#NUM!</v>
      </c>
      <c r="L233" s="67" t="e">
        <f t="shared" si="19"/>
        <v>#NUM!</v>
      </c>
      <c r="M233" s="85" t="e">
        <f t="shared" si="18"/>
        <v>#NUM!</v>
      </c>
      <c r="N233" s="39">
        <v>232</v>
      </c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7.25" thickTop="1" thickBot="1">
      <c r="B234">
        <f>wyniki!B278</f>
        <v>0</v>
      </c>
      <c r="C234" s="19">
        <f>wyniki!K278</f>
        <v>0</v>
      </c>
      <c r="D234" s="18">
        <v>-2.33E-3</v>
      </c>
      <c r="E234" s="19" t="b">
        <f t="shared" si="15"/>
        <v>0</v>
      </c>
      <c r="F234">
        <f>wyniki!$A$273</f>
        <v>0</v>
      </c>
      <c r="G234" s="19">
        <f t="shared" si="16"/>
        <v>0</v>
      </c>
      <c r="J234" s="93" t="e">
        <f t="shared" si="17"/>
        <v>#NUM!</v>
      </c>
      <c r="K234" s="80" t="e">
        <f>-LARGE($E$2:$E$241,233)</f>
        <v>#NUM!</v>
      </c>
      <c r="L234" s="67" t="e">
        <f t="shared" si="19"/>
        <v>#NUM!</v>
      </c>
      <c r="M234" s="85" t="e">
        <f t="shared" si="18"/>
        <v>#NUM!</v>
      </c>
      <c r="N234" s="39">
        <v>233</v>
      </c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7.25" thickTop="1" thickBot="1">
      <c r="B235">
        <f>wyniki!B279</f>
        <v>0</v>
      </c>
      <c r="C235" s="19">
        <f>wyniki!K279</f>
        <v>0</v>
      </c>
      <c r="D235" s="18">
        <v>-2.3400000000000001E-3</v>
      </c>
      <c r="E235" s="19" t="b">
        <f t="shared" si="15"/>
        <v>0</v>
      </c>
      <c r="F235">
        <f>wyniki!$A$273</f>
        <v>0</v>
      </c>
      <c r="G235" s="19">
        <f t="shared" si="16"/>
        <v>0</v>
      </c>
      <c r="J235" s="93" t="e">
        <f t="shared" si="17"/>
        <v>#NUM!</v>
      </c>
      <c r="K235" s="80" t="e">
        <f>-LARGE($E$2:$E$241,234)</f>
        <v>#NUM!</v>
      </c>
      <c r="L235" s="67" t="e">
        <f t="shared" si="19"/>
        <v>#NUM!</v>
      </c>
      <c r="M235" s="85" t="e">
        <f t="shared" si="18"/>
        <v>#NUM!</v>
      </c>
      <c r="N235" s="39">
        <v>234</v>
      </c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7.25" thickTop="1" thickBot="1">
      <c r="B236">
        <f>wyniki!B281</f>
        <v>0</v>
      </c>
      <c r="C236" s="19">
        <f>wyniki!K281</f>
        <v>0</v>
      </c>
      <c r="D236" s="18">
        <v>-2.3500000000000001E-3</v>
      </c>
      <c r="E236" s="19" t="b">
        <f t="shared" si="15"/>
        <v>0</v>
      </c>
      <c r="F236">
        <f>wyniki!$A$280</f>
        <v>0</v>
      </c>
      <c r="G236" s="19">
        <f t="shared" si="16"/>
        <v>0</v>
      </c>
      <c r="J236" s="93" t="e">
        <f t="shared" si="17"/>
        <v>#NUM!</v>
      </c>
      <c r="K236" s="80" t="e">
        <f>-LARGE($E$2:$E$241,235)</f>
        <v>#NUM!</v>
      </c>
      <c r="L236" s="67" t="e">
        <f t="shared" si="19"/>
        <v>#NUM!</v>
      </c>
      <c r="M236" s="85" t="e">
        <f t="shared" si="18"/>
        <v>#NUM!</v>
      </c>
      <c r="N236" s="39">
        <v>235</v>
      </c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7.25" thickTop="1" thickBot="1">
      <c r="B237">
        <f>wyniki!B282</f>
        <v>0</v>
      </c>
      <c r="C237" s="19">
        <f>wyniki!K282</f>
        <v>0</v>
      </c>
      <c r="D237" s="18">
        <v>-2.3600000000000001E-3</v>
      </c>
      <c r="E237" s="19" t="b">
        <f t="shared" si="15"/>
        <v>0</v>
      </c>
      <c r="F237">
        <f>wyniki!$A$280</f>
        <v>0</v>
      </c>
      <c r="G237" s="19">
        <f t="shared" si="16"/>
        <v>0</v>
      </c>
      <c r="J237" s="93" t="e">
        <f t="shared" si="17"/>
        <v>#NUM!</v>
      </c>
      <c r="K237" s="80" t="e">
        <f>-LARGE($E$2:$E$241,236)</f>
        <v>#NUM!</v>
      </c>
      <c r="L237" s="67" t="e">
        <f t="shared" si="19"/>
        <v>#NUM!</v>
      </c>
      <c r="M237" s="85" t="e">
        <f t="shared" si="18"/>
        <v>#NUM!</v>
      </c>
      <c r="N237" s="39">
        <v>236</v>
      </c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7.25" thickTop="1" thickBot="1">
      <c r="B238">
        <f>wyniki!B283</f>
        <v>0</v>
      </c>
      <c r="C238" s="19">
        <f>wyniki!K283</f>
        <v>0</v>
      </c>
      <c r="D238" s="18">
        <v>-2.3700000000000001E-3</v>
      </c>
      <c r="E238" s="19" t="b">
        <f t="shared" si="15"/>
        <v>0</v>
      </c>
      <c r="F238">
        <f>wyniki!$A$280</f>
        <v>0</v>
      </c>
      <c r="G238" s="19">
        <f t="shared" si="16"/>
        <v>0</v>
      </c>
      <c r="J238" s="93" t="e">
        <f t="shared" si="17"/>
        <v>#NUM!</v>
      </c>
      <c r="K238" s="80" t="e">
        <f>-LARGE($E$2:$E$241,237)</f>
        <v>#NUM!</v>
      </c>
      <c r="L238" s="67" t="e">
        <f t="shared" si="19"/>
        <v>#NUM!</v>
      </c>
      <c r="M238" s="85" t="e">
        <f t="shared" si="18"/>
        <v>#NUM!</v>
      </c>
      <c r="N238" s="39">
        <v>237</v>
      </c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7.25" thickTop="1" thickBot="1">
      <c r="B239">
        <f>wyniki!B284</f>
        <v>0</v>
      </c>
      <c r="C239" s="19">
        <f>wyniki!K284</f>
        <v>0</v>
      </c>
      <c r="D239" s="18">
        <v>-2.3800000000000002E-3</v>
      </c>
      <c r="E239" s="19" t="b">
        <f t="shared" si="15"/>
        <v>0</v>
      </c>
      <c r="F239">
        <f>wyniki!$A$280</f>
        <v>0</v>
      </c>
      <c r="G239" s="19">
        <f t="shared" si="16"/>
        <v>0</v>
      </c>
      <c r="J239" s="93" t="e">
        <f t="shared" si="17"/>
        <v>#NUM!</v>
      </c>
      <c r="K239" s="80" t="e">
        <f>-LARGE($E$2:$E$241,238)</f>
        <v>#NUM!</v>
      </c>
      <c r="L239" s="67" t="e">
        <f t="shared" si="19"/>
        <v>#NUM!</v>
      </c>
      <c r="M239" s="85" t="e">
        <f t="shared" si="18"/>
        <v>#NUM!</v>
      </c>
      <c r="N239" s="39">
        <v>238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7.25" thickTop="1" thickBot="1">
      <c r="B240">
        <f>wyniki!B285</f>
        <v>0</v>
      </c>
      <c r="C240" s="19">
        <f>wyniki!K285</f>
        <v>0</v>
      </c>
      <c r="D240" s="18">
        <v>-2.3900000000000002E-3</v>
      </c>
      <c r="E240" s="19" t="b">
        <f t="shared" si="15"/>
        <v>0</v>
      </c>
      <c r="F240">
        <f>wyniki!$A$280</f>
        <v>0</v>
      </c>
      <c r="G240" s="19">
        <f t="shared" si="16"/>
        <v>0</v>
      </c>
      <c r="J240" s="93" t="e">
        <f t="shared" si="17"/>
        <v>#NUM!</v>
      </c>
      <c r="K240" s="80" t="e">
        <f>-LARGE($E$2:$E$241,239)</f>
        <v>#NUM!</v>
      </c>
      <c r="L240" s="67" t="e">
        <f t="shared" si="19"/>
        <v>#NUM!</v>
      </c>
      <c r="M240" s="85" t="e">
        <f t="shared" si="18"/>
        <v>#NUM!</v>
      </c>
      <c r="N240" s="39">
        <v>239</v>
      </c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7.25" thickTop="1" thickBot="1">
      <c r="B241">
        <f>wyniki!B286</f>
        <v>0</v>
      </c>
      <c r="C241" s="19">
        <f>wyniki!K286</f>
        <v>0</v>
      </c>
      <c r="D241" s="18">
        <v>-2.3999999999999998E-3</v>
      </c>
      <c r="E241" s="19" t="b">
        <f t="shared" si="15"/>
        <v>0</v>
      </c>
      <c r="F241">
        <f>wyniki!$A$280</f>
        <v>0</v>
      </c>
      <c r="G241" s="19">
        <f t="shared" si="16"/>
        <v>0</v>
      </c>
      <c r="J241" s="93" t="e">
        <f t="shared" si="17"/>
        <v>#NUM!</v>
      </c>
      <c r="K241" s="80" t="e">
        <f>-LARGE($E$2:$E$241,240)</f>
        <v>#NUM!</v>
      </c>
      <c r="L241" s="67" t="e">
        <f t="shared" si="19"/>
        <v>#NUM!</v>
      </c>
      <c r="M241" s="85" t="e">
        <f t="shared" si="18"/>
        <v>#NUM!</v>
      </c>
      <c r="N241" s="39">
        <v>240</v>
      </c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3.5" thickTop="1"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2:31"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</row>
    <row r="244" spans="2:31"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</row>
    <row r="245" spans="2:31"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 spans="2:31"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 spans="2:31"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2:31"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2:31"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2:31"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2:31"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 spans="2:31"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 spans="2:31"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 spans="2:31"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</row>
    <row r="255" spans="2:31"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2:31"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 spans="15:31"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 spans="15:31"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 spans="15:31"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 spans="15:31"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 spans="15:31"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</row>
    <row r="262" spans="15:31"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15:31"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15:31"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15:31"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15:31"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15:31"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15:31"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15:31"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15:31"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15:31"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15:31"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15:31"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15:31"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15:31"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15:31"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15:31"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15:31"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15:31"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15:31"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5:31"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15:31"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15:31"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15:31"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15:31"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15:31"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15:31"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15:31"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15:31"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15:31"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15:31"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15:31"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15:31"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15:31"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15:31"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15:31"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15:31"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15:31"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15:31"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15:31"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15:31"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15:31"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15:31"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15:31"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15:31"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15:31"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15:31"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15:31"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15:31"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15:31"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15:31"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15:31"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15:31"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15:31"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15:31"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15:31"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15:31"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15:31"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15:31"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15:31"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15:31"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 spans="15:31"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5:31"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5:31"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5:31"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5:31"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5:31"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5:31"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5:31"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5:31"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5:31"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5:31"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5:31"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5:31"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5:31"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5:31"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5:23"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5:23"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15:23"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5:23"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5:23"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5:23"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5:23"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5:23"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5:23"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5:23"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5:23"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15:23"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5:23"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5:23"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5:23"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5:23"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5:23"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5:23"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5:23"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5:23"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5:23"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5:23"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5:23"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5:23"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5:23"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5:23"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5:23"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5:23"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5:23">
      <c r="O365" s="20"/>
      <c r="P365" s="20"/>
      <c r="Q365" s="20"/>
      <c r="R365" s="20"/>
      <c r="S365" s="20"/>
      <c r="T365" s="20"/>
      <c r="U365" s="20"/>
      <c r="V365" s="20"/>
      <c r="W365" s="20"/>
    </row>
  </sheetData>
  <autoFilter ref="J1:N1"/>
  <phoneticPr fontId="3" type="noConversion"/>
  <pageMargins left="0.75" right="0.75" top="1" bottom="1" header="0.5" footer="0.5"/>
  <pageSetup paperSize="9" scale="74" orientation="portrait" horizontalDpi="4294967294" r:id="rId1"/>
  <headerFooter alignWithMargins="0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B1:AH525"/>
  <sheetViews>
    <sheetView showGridLines="0" view="pageBreakPreview" zoomScaleNormal="100" workbookViewId="0">
      <selection activeCell="J1" sqref="J1:N1"/>
    </sheetView>
  </sheetViews>
  <sheetFormatPr defaultRowHeight="12.75"/>
  <cols>
    <col min="2" max="2" width="0" hidden="1" customWidth="1"/>
    <col min="3" max="4" width="9.140625" hidden="1" customWidth="1"/>
    <col min="5" max="5" width="0" style="17" hidden="1" customWidth="1"/>
    <col min="6" max="6" width="9.85546875" hidden="1" customWidth="1"/>
    <col min="7" max="7" width="0" hidden="1" customWidth="1"/>
    <col min="10" max="10" width="29.28515625" style="87" customWidth="1"/>
    <col min="11" max="11" width="13.85546875" style="79" bestFit="1" customWidth="1"/>
    <col min="12" max="12" width="0" hidden="1" customWidth="1"/>
    <col min="13" max="13" width="22.28515625" style="87" customWidth="1"/>
    <col min="14" max="14" width="16" style="76" bestFit="1" customWidth="1"/>
  </cols>
  <sheetData>
    <row r="1" spans="2:34" ht="19.5" thickTop="1" thickBot="1">
      <c r="J1" s="66" t="s">
        <v>1719</v>
      </c>
      <c r="K1" s="65" t="s">
        <v>1720</v>
      </c>
      <c r="L1" s="66"/>
      <c r="M1" s="95" t="s">
        <v>1721</v>
      </c>
      <c r="N1" s="66" t="s">
        <v>1722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2:34" ht="17.25" thickTop="1" thickBot="1">
      <c r="B2" t="str">
        <f>wyniki!B8</f>
        <v>Anielska Aleksandra</v>
      </c>
      <c r="C2">
        <f>wyniki!N8</f>
        <v>154</v>
      </c>
      <c r="D2">
        <v>1.0000000000000001E-5</v>
      </c>
      <c r="E2" s="17">
        <f>C2+D2</f>
        <v>154.00001</v>
      </c>
      <c r="F2" t="str">
        <f>wyniki!$A$7</f>
        <v>SP14 Warszawa</v>
      </c>
      <c r="G2">
        <f>wyniki!G8</f>
        <v>0</v>
      </c>
      <c r="J2" s="93" t="str">
        <f>INDEX($B$2:$E$2411,L2,1)</f>
        <v>Zarzycka Helena</v>
      </c>
      <c r="K2" s="77">
        <f>LARGE($E$2:$E$241,1)</f>
        <v>324.00011999999998</v>
      </c>
      <c r="L2" s="67">
        <f>MATCH(K2,$E$2:$E$241,0)</f>
        <v>12</v>
      </c>
      <c r="M2" s="85" t="str">
        <f>INDEX($E$2:$F$241,L2,2)</f>
        <v>SP204 Warszawa</v>
      </c>
      <c r="N2" s="39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2:34" ht="17.25" thickTop="1" thickBot="1">
      <c r="B3" t="str">
        <f>wyniki!B9</f>
        <v>Dłużewska Julia</v>
      </c>
      <c r="C3">
        <f>wyniki!N9</f>
        <v>230</v>
      </c>
      <c r="D3">
        <v>2.0000000000000002E-5</v>
      </c>
      <c r="E3" s="17">
        <f t="shared" ref="E3:E66" si="0">C3+D3</f>
        <v>230.00002000000001</v>
      </c>
      <c r="F3" t="str">
        <f>wyniki!$A$7</f>
        <v>SP14 Warszawa</v>
      </c>
      <c r="G3">
        <f>wyniki!G9</f>
        <v>0</v>
      </c>
      <c r="J3" s="93" t="str">
        <f t="shared" ref="J3:J66" si="1">INDEX($B$2:$E$2411,L3,1)</f>
        <v>Tryzno Alicja</v>
      </c>
      <c r="K3" s="77">
        <f>LARGE($E$2:$E$241,2)</f>
        <v>305.00054</v>
      </c>
      <c r="L3" s="67">
        <f>MATCH(K3,$E$2:$E$241,0)</f>
        <v>54</v>
      </c>
      <c r="M3" s="85" t="str">
        <f t="shared" ref="M3:M66" si="2">INDEX($E$2:$F$241,L3,2)</f>
        <v>SP Podkowa Leśna</v>
      </c>
      <c r="N3" s="39">
        <v>2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7.25" thickTop="1" thickBot="1">
      <c r="B4" t="str">
        <f>wyniki!B10</f>
        <v>Glegoła Paulia</v>
      </c>
      <c r="C4">
        <f>wyniki!N10</f>
        <v>217</v>
      </c>
      <c r="D4">
        <v>3.0000000000000001E-5</v>
      </c>
      <c r="E4" s="17">
        <f t="shared" si="0"/>
        <v>217.00003000000001</v>
      </c>
      <c r="F4" t="str">
        <f>wyniki!$A$7</f>
        <v>SP14 Warszawa</v>
      </c>
      <c r="G4">
        <f>wyniki!G10</f>
        <v>0</v>
      </c>
      <c r="J4" s="93" t="str">
        <f t="shared" si="1"/>
        <v>Jachowicz Roksana</v>
      </c>
      <c r="K4" s="77">
        <f>LARGE($E$2:$E$241,3)</f>
        <v>297.00038000000001</v>
      </c>
      <c r="L4" s="67">
        <f t="shared" ref="L4:L67" si="3">MATCH(K4,$E$2:$E$241,0)</f>
        <v>38</v>
      </c>
      <c r="M4" s="85" t="str">
        <f t="shared" si="2"/>
        <v>SP2 Węgrów</v>
      </c>
      <c r="N4" s="39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2:34" ht="17.25" thickTop="1" thickBot="1">
      <c r="B5" t="str">
        <f>wyniki!B11</f>
        <v>Pietruszka Aleksandra</v>
      </c>
      <c r="C5">
        <f>wyniki!N11</f>
        <v>236</v>
      </c>
      <c r="D5">
        <v>4.0000000000000003E-5</v>
      </c>
      <c r="E5" s="17">
        <f t="shared" si="0"/>
        <v>236.00004000000001</v>
      </c>
      <c r="F5" t="str">
        <f>wyniki!$A$7</f>
        <v>SP14 Warszawa</v>
      </c>
      <c r="G5">
        <f>wyniki!G11</f>
        <v>0</v>
      </c>
      <c r="J5" s="93" t="str">
        <f t="shared" si="1"/>
        <v>Rogowska Maja</v>
      </c>
      <c r="K5" s="77">
        <f>LARGE($E$2:$E$241,4)</f>
        <v>292.00011000000001</v>
      </c>
      <c r="L5" s="67">
        <f t="shared" si="3"/>
        <v>11</v>
      </c>
      <c r="M5" s="85" t="str">
        <f t="shared" si="2"/>
        <v>SP204 Warszawa</v>
      </c>
      <c r="N5" s="39">
        <v>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ht="17.25" thickTop="1" thickBot="1">
      <c r="B6" t="str">
        <f>wyniki!B12</f>
        <v>Stańczyk Maja</v>
      </c>
      <c r="C6">
        <f>wyniki!N12</f>
        <v>251</v>
      </c>
      <c r="D6">
        <v>5.0000000000000002E-5</v>
      </c>
      <c r="E6" s="17">
        <f t="shared" si="0"/>
        <v>251.00004999999999</v>
      </c>
      <c r="F6" t="str">
        <f>wyniki!$A$7</f>
        <v>SP14 Warszawa</v>
      </c>
      <c r="G6">
        <f>wyniki!G12</f>
        <v>0</v>
      </c>
      <c r="J6" s="93" t="str">
        <f t="shared" si="1"/>
        <v>Kowalska Maja</v>
      </c>
      <c r="K6" s="77">
        <f>LARGE($E$2:$E$241,5)</f>
        <v>287.00009999999997</v>
      </c>
      <c r="L6" s="67">
        <f t="shared" si="3"/>
        <v>10</v>
      </c>
      <c r="M6" s="85" t="str">
        <f t="shared" si="2"/>
        <v>SP204 Warszawa</v>
      </c>
      <c r="N6" s="39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4" ht="17.25" thickTop="1" thickBot="1">
      <c r="B7" t="str">
        <f>wyniki!B13</f>
        <v>Wikalińska Maria</v>
      </c>
      <c r="C7">
        <f>wyniki!N13</f>
        <v>193</v>
      </c>
      <c r="D7">
        <v>6.0000000000000002E-5</v>
      </c>
      <c r="E7" s="17">
        <f t="shared" si="0"/>
        <v>193.00005999999999</v>
      </c>
      <c r="F7" t="str">
        <f>wyniki!$A$7</f>
        <v>SP14 Warszawa</v>
      </c>
      <c r="G7">
        <f>wyniki!G13</f>
        <v>0</v>
      </c>
      <c r="J7" s="93" t="str">
        <f t="shared" si="1"/>
        <v>Kolenda Zofia</v>
      </c>
      <c r="K7" s="77">
        <f>LARGE($E$2:$E$241,6)</f>
        <v>284.00051000000002</v>
      </c>
      <c r="L7" s="67">
        <f t="shared" si="3"/>
        <v>51</v>
      </c>
      <c r="M7" s="85" t="str">
        <f t="shared" si="2"/>
        <v>SP Podkowa Leśna</v>
      </c>
      <c r="N7" s="39">
        <v>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2:34" ht="17.25" thickTop="1" thickBot="1">
      <c r="B8" t="str">
        <f>wyniki!B15</f>
        <v>Cisowska Lena</v>
      </c>
      <c r="C8">
        <f>wyniki!N15</f>
        <v>211</v>
      </c>
      <c r="D8">
        <v>6.9999999999999994E-5</v>
      </c>
      <c r="E8" s="17">
        <f t="shared" si="0"/>
        <v>211.00006999999999</v>
      </c>
      <c r="F8" t="str">
        <f>wyniki!$A$14</f>
        <v>SP204 Warszawa</v>
      </c>
      <c r="G8">
        <f>wyniki!G15</f>
        <v>0</v>
      </c>
      <c r="J8" s="93" t="str">
        <f t="shared" si="1"/>
        <v>Wąsożnik Zofia</v>
      </c>
      <c r="K8" s="77">
        <f>LARGE($E$2:$E$241,7)</f>
        <v>283.00040000000001</v>
      </c>
      <c r="L8" s="67">
        <f t="shared" si="3"/>
        <v>40</v>
      </c>
      <c r="M8" s="85" t="str">
        <f t="shared" si="2"/>
        <v>SP2 Węgrów</v>
      </c>
      <c r="N8" s="39">
        <v>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2:34" ht="17.25" thickTop="1" thickBot="1">
      <c r="B9" t="str">
        <f>wyniki!B16</f>
        <v>Dasiewicz Barbara</v>
      </c>
      <c r="C9">
        <f>wyniki!N16</f>
        <v>244</v>
      </c>
      <c r="D9">
        <v>8.0000000000000007E-5</v>
      </c>
      <c r="E9" s="17">
        <f t="shared" si="0"/>
        <v>244.00008</v>
      </c>
      <c r="F9" t="str">
        <f>wyniki!$A$14</f>
        <v>SP204 Warszawa</v>
      </c>
      <c r="G9">
        <f>wyniki!G16</f>
        <v>0</v>
      </c>
      <c r="J9" s="93" t="str">
        <f t="shared" si="1"/>
        <v>Chromińska Maja</v>
      </c>
      <c r="K9" s="77">
        <f>LARGE($E$2:$E$241,8)</f>
        <v>279.00042999999999</v>
      </c>
      <c r="L9" s="67">
        <f t="shared" si="3"/>
        <v>43</v>
      </c>
      <c r="M9" s="85" t="str">
        <f t="shared" si="2"/>
        <v>SP11 Siedlce</v>
      </c>
      <c r="N9" s="39">
        <v>8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2:34" ht="17.25" thickTop="1" thickBot="1">
      <c r="B10" t="str">
        <f>wyniki!B17</f>
        <v>Kowalska Antonina</v>
      </c>
      <c r="C10">
        <f>wyniki!N17</f>
        <v>226</v>
      </c>
      <c r="D10">
        <v>9.0000000000000006E-5</v>
      </c>
      <c r="E10" s="17">
        <f t="shared" si="0"/>
        <v>226.00009</v>
      </c>
      <c r="F10" t="str">
        <f>wyniki!$A$14</f>
        <v>SP204 Warszawa</v>
      </c>
      <c r="G10">
        <f>wyniki!G17</f>
        <v>0</v>
      </c>
      <c r="J10" s="93" t="str">
        <f t="shared" si="1"/>
        <v>Borys Paulina</v>
      </c>
      <c r="K10" s="77">
        <f>LARGE($E$2:$E$241,9)</f>
        <v>276.00031000000001</v>
      </c>
      <c r="L10" s="67">
        <f t="shared" si="3"/>
        <v>31</v>
      </c>
      <c r="M10" s="85" t="str">
        <f t="shared" si="2"/>
        <v>SP Bieniewice</v>
      </c>
      <c r="N10" s="39">
        <v>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2:34" ht="17.25" thickTop="1" thickBot="1">
      <c r="B11" t="str">
        <f>wyniki!B18</f>
        <v>Kowalska Maja</v>
      </c>
      <c r="C11">
        <f>wyniki!N18</f>
        <v>287</v>
      </c>
      <c r="D11">
        <v>1E-4</v>
      </c>
      <c r="E11" s="17">
        <f t="shared" si="0"/>
        <v>287.00009999999997</v>
      </c>
      <c r="F11" t="str">
        <f>wyniki!$A$14</f>
        <v>SP204 Warszawa</v>
      </c>
      <c r="G11">
        <f>wyniki!G18</f>
        <v>0</v>
      </c>
      <c r="J11" s="93" t="str">
        <f t="shared" si="1"/>
        <v>Rytel Emilia</v>
      </c>
      <c r="K11" s="77">
        <f>LARGE($E$2:$E$241,10)</f>
        <v>275.00047999999998</v>
      </c>
      <c r="L11" s="67">
        <f t="shared" si="3"/>
        <v>48</v>
      </c>
      <c r="M11" s="85" t="str">
        <f t="shared" si="2"/>
        <v>SP11 Siedlce</v>
      </c>
      <c r="N11" s="39">
        <v>10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7.25" thickTop="1" thickBot="1">
      <c r="B12" t="str">
        <f>wyniki!B19</f>
        <v>Rogowska Maja</v>
      </c>
      <c r="C12">
        <f>wyniki!N19</f>
        <v>292</v>
      </c>
      <c r="D12">
        <v>1.1E-4</v>
      </c>
      <c r="E12" s="17">
        <f t="shared" si="0"/>
        <v>292.00011000000001</v>
      </c>
      <c r="F12" t="str">
        <f>wyniki!$A$14</f>
        <v>SP204 Warszawa</v>
      </c>
      <c r="G12">
        <f>wyniki!G19</f>
        <v>0</v>
      </c>
      <c r="J12" s="93" t="str">
        <f t="shared" si="1"/>
        <v>Niedziółka Weronika</v>
      </c>
      <c r="K12" s="77">
        <f>LARGE($E$2:$E$241,11)</f>
        <v>275.00047000000001</v>
      </c>
      <c r="L12" s="67">
        <f t="shared" si="3"/>
        <v>47</v>
      </c>
      <c r="M12" s="85" t="str">
        <f t="shared" si="2"/>
        <v>SP11 Siedlce</v>
      </c>
      <c r="N12" s="39">
        <v>11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7.25" thickTop="1" thickBot="1">
      <c r="B13" t="str">
        <f>wyniki!B20</f>
        <v>Zarzycka Helena</v>
      </c>
      <c r="C13">
        <f>wyniki!N20</f>
        <v>324</v>
      </c>
      <c r="D13">
        <v>1.2E-4</v>
      </c>
      <c r="E13" s="17">
        <f t="shared" si="0"/>
        <v>324.00011999999998</v>
      </c>
      <c r="F13" t="str">
        <f>wyniki!$A$14</f>
        <v>SP204 Warszawa</v>
      </c>
      <c r="G13">
        <f>wyniki!G20</f>
        <v>0</v>
      </c>
      <c r="J13" s="93" t="str">
        <f t="shared" si="1"/>
        <v>Szymańska Joanna</v>
      </c>
      <c r="K13" s="77">
        <f>LARGE($E$2:$E$241,12)</f>
        <v>274.00027999999998</v>
      </c>
      <c r="L13" s="67">
        <f t="shared" si="3"/>
        <v>28</v>
      </c>
      <c r="M13" s="85" t="str">
        <f t="shared" si="2"/>
        <v>SP2 Chorzele</v>
      </c>
      <c r="N13" s="39">
        <v>12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7.25" thickTop="1" thickBot="1">
      <c r="B14" t="str">
        <f>wyniki!B22</f>
        <v>Gawor Maria</v>
      </c>
      <c r="C14">
        <f>wyniki!N22</f>
        <v>165</v>
      </c>
      <c r="D14">
        <v>1.2999999999999999E-4</v>
      </c>
      <c r="E14" s="17">
        <f t="shared" si="0"/>
        <v>165.00013000000001</v>
      </c>
      <c r="F14" t="str">
        <f>wyniki!$A$21</f>
        <v>PSP 2 Radom</v>
      </c>
      <c r="G14">
        <f>wyniki!G22</f>
        <v>0</v>
      </c>
      <c r="J14" s="93" t="str">
        <f t="shared" si="1"/>
        <v>Zabadała Aleksandra</v>
      </c>
      <c r="K14" s="77">
        <f>LARGE($E$2:$E$241,13)</f>
        <v>272.00036999999998</v>
      </c>
      <c r="L14" s="67">
        <f t="shared" si="3"/>
        <v>37</v>
      </c>
      <c r="M14" s="85" t="str">
        <f t="shared" si="2"/>
        <v>SP2 Węgrów</v>
      </c>
      <c r="N14" s="39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7.25" thickTop="1" thickBot="1">
      <c r="B15" t="str">
        <f>wyniki!B23</f>
        <v>Jakubowska Liliana</v>
      </c>
      <c r="C15">
        <f>wyniki!N23</f>
        <v>201</v>
      </c>
      <c r="D15">
        <v>1.3999999999999999E-4</v>
      </c>
      <c r="E15" s="17">
        <f t="shared" si="0"/>
        <v>201.00013999999999</v>
      </c>
      <c r="F15" t="str">
        <f>wyniki!$A$21</f>
        <v>PSP 2 Radom</v>
      </c>
      <c r="G15">
        <f>wyniki!G23</f>
        <v>0</v>
      </c>
      <c r="J15" s="93" t="str">
        <f t="shared" si="1"/>
        <v>Krutkowska Amelia</v>
      </c>
      <c r="K15" s="77">
        <f>LARGE($E$2:$E$241,14)</f>
        <v>268.00051999999999</v>
      </c>
      <c r="L15" s="67">
        <f t="shared" si="3"/>
        <v>52</v>
      </c>
      <c r="M15" s="85" t="str">
        <f t="shared" si="2"/>
        <v>SP Podkowa Leśna</v>
      </c>
      <c r="N15" s="39">
        <v>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7.25" thickTop="1" thickBot="1">
      <c r="B16" t="str">
        <f>wyniki!B24</f>
        <v>Kąca Alicja</v>
      </c>
      <c r="C16">
        <f>wyniki!N24</f>
        <v>177</v>
      </c>
      <c r="D16">
        <v>1.4999999999999999E-4</v>
      </c>
      <c r="E16" s="17">
        <f t="shared" si="0"/>
        <v>177.00014999999999</v>
      </c>
      <c r="F16" t="str">
        <f>wyniki!$A$21</f>
        <v>PSP 2 Radom</v>
      </c>
      <c r="G16">
        <f>wyniki!G24</f>
        <v>0</v>
      </c>
      <c r="J16" s="93" t="str">
        <f t="shared" si="1"/>
        <v>Tłoczkowska Marta</v>
      </c>
      <c r="K16" s="77">
        <f>LARGE($E$2:$E$241,15)</f>
        <v>264.00029000000001</v>
      </c>
      <c r="L16" s="67">
        <f t="shared" si="3"/>
        <v>29</v>
      </c>
      <c r="M16" s="85" t="str">
        <f t="shared" si="2"/>
        <v>SP2 Chorzele</v>
      </c>
      <c r="N16" s="39">
        <v>15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7.25" thickTop="1" thickBot="1">
      <c r="B17" t="str">
        <f>wyniki!B25</f>
        <v>Maj Amelia</v>
      </c>
      <c r="C17">
        <f>wyniki!N25</f>
        <v>209</v>
      </c>
      <c r="D17">
        <v>1.6000000000000001E-4</v>
      </c>
      <c r="E17" s="17">
        <f t="shared" si="0"/>
        <v>209.00015999999999</v>
      </c>
      <c r="F17" t="str">
        <f>wyniki!$A$21</f>
        <v>PSP 2 Radom</v>
      </c>
      <c r="G17">
        <f>wyniki!G25</f>
        <v>0</v>
      </c>
      <c r="J17" s="93" t="str">
        <f t="shared" si="1"/>
        <v>Bany Monika</v>
      </c>
      <c r="K17" s="77">
        <f>LARGE($E$2:$E$241,16)</f>
        <v>263.00060999999999</v>
      </c>
      <c r="L17" s="67">
        <f t="shared" si="3"/>
        <v>61</v>
      </c>
      <c r="M17" s="85" t="str">
        <f t="shared" si="2"/>
        <v>SP3 Piaseczno</v>
      </c>
      <c r="N17" s="39">
        <v>16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7.25" thickTop="1" thickBot="1">
      <c r="B18" t="str">
        <f>wyniki!B26</f>
        <v>Piotrowska Iga</v>
      </c>
      <c r="C18">
        <f>wyniki!N26</f>
        <v>147</v>
      </c>
      <c r="D18">
        <v>1.7000000000000001E-4</v>
      </c>
      <c r="E18" s="17">
        <f t="shared" si="0"/>
        <v>147.00017</v>
      </c>
      <c r="F18" t="str">
        <f>wyniki!$A$21</f>
        <v>PSP 2 Radom</v>
      </c>
      <c r="G18">
        <f>wyniki!G26</f>
        <v>0</v>
      </c>
      <c r="J18" s="93" t="str">
        <f t="shared" si="1"/>
        <v>Furman Alicja</v>
      </c>
      <c r="K18" s="77">
        <f>LARGE($E$2:$E$241,17)</f>
        <v>261.00024999999999</v>
      </c>
      <c r="L18" s="67">
        <f t="shared" si="3"/>
        <v>25</v>
      </c>
      <c r="M18" s="85" t="str">
        <f t="shared" si="2"/>
        <v>SP2 Chorzele</v>
      </c>
      <c r="N18" s="39">
        <v>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7.25" thickTop="1" thickBot="1">
      <c r="B19" t="str">
        <f>wyniki!B27</f>
        <v>Tyczyńska Lena</v>
      </c>
      <c r="C19">
        <f>wyniki!N27</f>
        <v>191</v>
      </c>
      <c r="D19">
        <v>1.8000000000000001E-4</v>
      </c>
      <c r="E19" s="17">
        <f t="shared" si="0"/>
        <v>191.00018</v>
      </c>
      <c r="F19" t="str">
        <f>wyniki!$A$21</f>
        <v>PSP 2 Radom</v>
      </c>
      <c r="G19">
        <f>wyniki!G27</f>
        <v>0</v>
      </c>
      <c r="J19" s="93" t="str">
        <f t="shared" si="1"/>
        <v>Stańczyk Maja</v>
      </c>
      <c r="K19" s="77">
        <f>LARGE($E$2:$E$241,18)</f>
        <v>251.00004999999999</v>
      </c>
      <c r="L19" s="67">
        <f t="shared" si="3"/>
        <v>5</v>
      </c>
      <c r="M19" s="85" t="str">
        <f t="shared" si="2"/>
        <v>SP14 Warszawa</v>
      </c>
      <c r="N19" s="39">
        <v>18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2:34" ht="17.25" thickTop="1" thickBot="1">
      <c r="B20" t="str">
        <f>wyniki!B29</f>
        <v>Burkiewicz Amelia</v>
      </c>
      <c r="C20">
        <f>wyniki!N29</f>
        <v>230</v>
      </c>
      <c r="D20">
        <v>1.9000000000000001E-4</v>
      </c>
      <c r="E20" s="17">
        <f t="shared" si="0"/>
        <v>230.00019</v>
      </c>
      <c r="F20" t="str">
        <f>wyniki!$A$28</f>
        <v>SP2 Ostrów Maz.</v>
      </c>
      <c r="G20">
        <f>wyniki!G29</f>
        <v>0</v>
      </c>
      <c r="J20" s="93" t="str">
        <f t="shared" si="1"/>
        <v>Macutkiewicz Wiktoria</v>
      </c>
      <c r="K20" s="77">
        <f>LARGE($E$2:$E$241,19)</f>
        <v>249.00053</v>
      </c>
      <c r="L20" s="67">
        <f t="shared" si="3"/>
        <v>53</v>
      </c>
      <c r="M20" s="85" t="str">
        <f t="shared" si="2"/>
        <v>SP Podkowa Leśna</v>
      </c>
      <c r="N20" s="39">
        <v>19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7.25" thickTop="1" thickBot="1">
      <c r="B21" t="str">
        <f>wyniki!B30</f>
        <v>Kołakowska Gabriela</v>
      </c>
      <c r="C21">
        <f>wyniki!N30</f>
        <v>217</v>
      </c>
      <c r="D21">
        <v>2.0000000000000001E-4</v>
      </c>
      <c r="E21" s="17">
        <f t="shared" si="0"/>
        <v>217.00020000000001</v>
      </c>
      <c r="F21" t="str">
        <f>wyniki!$A$28</f>
        <v>SP2 Ostrów Maz.</v>
      </c>
      <c r="G21">
        <f>wyniki!G30</f>
        <v>0</v>
      </c>
      <c r="J21" s="93" t="str">
        <f t="shared" si="1"/>
        <v>Gryz Amelia</v>
      </c>
      <c r="K21" s="77">
        <f>LARGE($E$2:$E$241,20)</f>
        <v>244.00068999999999</v>
      </c>
      <c r="L21" s="67">
        <f t="shared" si="3"/>
        <v>69</v>
      </c>
      <c r="M21" s="85" t="str">
        <f t="shared" si="2"/>
        <v>ZSP Jedlińsk</v>
      </c>
      <c r="N21" s="39">
        <v>20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7.25" thickTop="1" thickBot="1">
      <c r="B22" t="str">
        <f>wyniki!B31</f>
        <v>Niemyjska Aleksandra</v>
      </c>
      <c r="C22">
        <f>wyniki!N31</f>
        <v>222</v>
      </c>
      <c r="D22">
        <v>2.1000000000000001E-4</v>
      </c>
      <c r="E22" s="17">
        <f t="shared" si="0"/>
        <v>222.00021000000001</v>
      </c>
      <c r="F22" t="str">
        <f>wyniki!$A$28</f>
        <v>SP2 Ostrów Maz.</v>
      </c>
      <c r="G22">
        <f>wyniki!G31</f>
        <v>0</v>
      </c>
      <c r="J22" s="93" t="str">
        <f t="shared" si="1"/>
        <v>Paradukha Viktoria</v>
      </c>
      <c r="K22" s="77">
        <f>LARGE($E$2:$E$241,21)</f>
        <v>244.00022000000001</v>
      </c>
      <c r="L22" s="67">
        <f t="shared" si="3"/>
        <v>22</v>
      </c>
      <c r="M22" s="85" t="str">
        <f t="shared" si="2"/>
        <v>SP2 Ostrów Maz.</v>
      </c>
      <c r="N22" s="39">
        <v>21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7.25" thickTop="1" thickBot="1">
      <c r="B23" t="str">
        <f>wyniki!B32</f>
        <v>Paradukha Viktoria</v>
      </c>
      <c r="C23">
        <f>wyniki!N32</f>
        <v>244</v>
      </c>
      <c r="D23">
        <v>2.2000000000000001E-4</v>
      </c>
      <c r="E23" s="17">
        <f t="shared" si="0"/>
        <v>244.00022000000001</v>
      </c>
      <c r="F23" t="str">
        <f>wyniki!$A$28</f>
        <v>SP2 Ostrów Maz.</v>
      </c>
      <c r="G23">
        <f>wyniki!G32</f>
        <v>0</v>
      </c>
      <c r="J23" s="93" t="str">
        <f t="shared" si="1"/>
        <v>Dasiewicz Barbara</v>
      </c>
      <c r="K23" s="77">
        <f>LARGE($E$2:$E$241,22)</f>
        <v>244.00008</v>
      </c>
      <c r="L23" s="67">
        <f t="shared" si="3"/>
        <v>8</v>
      </c>
      <c r="M23" s="85" t="str">
        <f t="shared" si="2"/>
        <v>SP204 Warszawa</v>
      </c>
      <c r="N23" s="39">
        <v>22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7.25" thickTop="1" thickBot="1">
      <c r="B24" t="str">
        <f>wyniki!B33</f>
        <v>Wojsz Paulina</v>
      </c>
      <c r="C24">
        <f>wyniki!N33</f>
        <v>179</v>
      </c>
      <c r="D24">
        <v>2.3000000000000001E-4</v>
      </c>
      <c r="E24" s="17">
        <f t="shared" si="0"/>
        <v>179.00022999999999</v>
      </c>
      <c r="F24" t="str">
        <f>wyniki!$A$28</f>
        <v>SP2 Ostrów Maz.</v>
      </c>
      <c r="G24">
        <f>wyniki!G33</f>
        <v>0</v>
      </c>
      <c r="J24" s="93" t="str">
        <f t="shared" si="1"/>
        <v>Grabowska Maja</v>
      </c>
      <c r="K24" s="77">
        <f>LARGE($E$2:$E$241,23)</f>
        <v>242.00026</v>
      </c>
      <c r="L24" s="67">
        <f t="shared" si="3"/>
        <v>26</v>
      </c>
      <c r="M24" s="85" t="str">
        <f t="shared" si="2"/>
        <v>SP2 Chorzele</v>
      </c>
      <c r="N24" s="39">
        <v>23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7.25" thickTop="1" thickBot="1">
      <c r="B25" t="str">
        <f>wyniki!B34</f>
        <v>Radgowska Maja</v>
      </c>
      <c r="C25">
        <f>wyniki!N34</f>
        <v>183</v>
      </c>
      <c r="D25">
        <v>2.4000000000000001E-4</v>
      </c>
      <c r="E25" s="17">
        <f t="shared" si="0"/>
        <v>183.00023999999999</v>
      </c>
      <c r="F25" t="str">
        <f>wyniki!$A$28</f>
        <v>SP2 Ostrów Maz.</v>
      </c>
      <c r="G25">
        <f>wyniki!G34</f>
        <v>0</v>
      </c>
      <c r="J25" s="93" t="str">
        <f t="shared" si="1"/>
        <v>Lubowiecka Nadia</v>
      </c>
      <c r="K25" s="77">
        <f>LARGE($E$2:$E$241,24)</f>
        <v>241.00027</v>
      </c>
      <c r="L25" s="67">
        <f t="shared" si="3"/>
        <v>27</v>
      </c>
      <c r="M25" s="85" t="str">
        <f t="shared" si="2"/>
        <v>SP2 Chorzele</v>
      </c>
      <c r="N25" s="39"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2:34" ht="17.25" thickTop="1" thickBot="1">
      <c r="B26" t="str">
        <f>wyniki!B36</f>
        <v>Furman Alicja</v>
      </c>
      <c r="C26">
        <f>wyniki!N36</f>
        <v>261</v>
      </c>
      <c r="D26">
        <v>2.5000000000000001E-4</v>
      </c>
      <c r="E26" s="17">
        <f t="shared" si="0"/>
        <v>261.00024999999999</v>
      </c>
      <c r="F26" t="str">
        <f>wyniki!$A$35</f>
        <v>SP2 Chorzele</v>
      </c>
      <c r="G26">
        <f>wyniki!G36</f>
        <v>0</v>
      </c>
      <c r="J26" s="93" t="str">
        <f t="shared" si="1"/>
        <v>Fiuk Julia</v>
      </c>
      <c r="K26" s="77">
        <f>LARGE($E$2:$E$241,25)</f>
        <v>236.00044</v>
      </c>
      <c r="L26" s="67">
        <f t="shared" si="3"/>
        <v>44</v>
      </c>
      <c r="M26" s="85" t="str">
        <f t="shared" si="2"/>
        <v>SP11 Siedlce</v>
      </c>
      <c r="N26" s="39">
        <v>25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17.25" thickTop="1" thickBot="1">
      <c r="B27" t="str">
        <f>wyniki!B37</f>
        <v>Grabowska Maja</v>
      </c>
      <c r="C27">
        <f>wyniki!N37</f>
        <v>242</v>
      </c>
      <c r="D27">
        <v>2.5999999999999998E-4</v>
      </c>
      <c r="E27" s="17">
        <f t="shared" si="0"/>
        <v>242.00026</v>
      </c>
      <c r="F27" t="str">
        <f>wyniki!$A$35</f>
        <v>SP2 Chorzele</v>
      </c>
      <c r="G27">
        <f>wyniki!G37</f>
        <v>0</v>
      </c>
      <c r="J27" s="93" t="str">
        <f t="shared" si="1"/>
        <v>Pietruszka Aleksandra</v>
      </c>
      <c r="K27" s="77">
        <f>LARGE($E$2:$E$241,26)</f>
        <v>236.00004000000001</v>
      </c>
      <c r="L27" s="67">
        <f t="shared" si="3"/>
        <v>4</v>
      </c>
      <c r="M27" s="85" t="str">
        <f t="shared" si="2"/>
        <v>SP14 Warszawa</v>
      </c>
      <c r="N27" s="39">
        <v>26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7.25" thickTop="1" thickBot="1">
      <c r="B28" t="str">
        <f>wyniki!B38</f>
        <v>Lubowiecka Nadia</v>
      </c>
      <c r="C28">
        <f>wyniki!N38</f>
        <v>241</v>
      </c>
      <c r="D28">
        <v>2.7E-4</v>
      </c>
      <c r="E28" s="17">
        <f t="shared" si="0"/>
        <v>241.00027</v>
      </c>
      <c r="F28" t="str">
        <f>wyniki!$A$35</f>
        <v>SP2 Chorzele</v>
      </c>
      <c r="G28">
        <f>wyniki!G38</f>
        <v>0</v>
      </c>
      <c r="J28" s="93" t="str">
        <f t="shared" si="1"/>
        <v>Wolska Julia</v>
      </c>
      <c r="K28" s="77">
        <f>LARGE($E$2:$E$241,27)</f>
        <v>232.00035</v>
      </c>
      <c r="L28" s="67">
        <f t="shared" si="3"/>
        <v>35</v>
      </c>
      <c r="M28" s="85" t="str">
        <f t="shared" si="2"/>
        <v>SP Bieniewice</v>
      </c>
      <c r="N28" s="39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7.25" thickTop="1" thickBot="1">
      <c r="B29" t="str">
        <f>wyniki!B39</f>
        <v>Szymańska Joanna</v>
      </c>
      <c r="C29">
        <f>wyniki!N39</f>
        <v>274</v>
      </c>
      <c r="D29">
        <v>2.7999999999999998E-4</v>
      </c>
      <c r="E29" s="17">
        <f t="shared" si="0"/>
        <v>274.00027999999998</v>
      </c>
      <c r="F29" t="str">
        <f>wyniki!$A$35</f>
        <v>SP2 Chorzele</v>
      </c>
      <c r="G29">
        <f>wyniki!G39</f>
        <v>0</v>
      </c>
      <c r="J29" s="93" t="str">
        <f t="shared" si="1"/>
        <v>Burkiewicz Amelia</v>
      </c>
      <c r="K29" s="77">
        <f>LARGE($E$2:$E$241,28)</f>
        <v>230.00019</v>
      </c>
      <c r="L29" s="67">
        <f t="shared" si="3"/>
        <v>19</v>
      </c>
      <c r="M29" s="85" t="str">
        <f t="shared" si="2"/>
        <v>SP2 Ostrów Maz.</v>
      </c>
      <c r="N29" s="39">
        <v>28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2:34" ht="17.25" thickTop="1" thickBot="1">
      <c r="B30" t="str">
        <f>wyniki!B40</f>
        <v>Tłoczkowska Marta</v>
      </c>
      <c r="C30">
        <f>wyniki!N40</f>
        <v>264</v>
      </c>
      <c r="D30">
        <v>2.9E-4</v>
      </c>
      <c r="E30" s="17">
        <f t="shared" si="0"/>
        <v>264.00029000000001</v>
      </c>
      <c r="F30" t="str">
        <f>wyniki!$A$35</f>
        <v>SP2 Chorzele</v>
      </c>
      <c r="G30">
        <f>wyniki!G40</f>
        <v>0</v>
      </c>
      <c r="J30" s="93" t="str">
        <f t="shared" si="1"/>
        <v>Dłużewska Julia</v>
      </c>
      <c r="K30" s="77">
        <f>LARGE($E$2:$E$241,29)</f>
        <v>230.00002000000001</v>
      </c>
      <c r="L30" s="67">
        <f t="shared" si="3"/>
        <v>2</v>
      </c>
      <c r="M30" s="85" t="str">
        <f t="shared" si="2"/>
        <v>SP14 Warszawa</v>
      </c>
      <c r="N30" s="39">
        <v>29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7.25" thickTop="1" thickBot="1">
      <c r="B31" t="str">
        <f>wyniki!B41</f>
        <v>Woźniak Maja</v>
      </c>
      <c r="C31">
        <f>wyniki!N41</f>
        <v>223</v>
      </c>
      <c r="D31">
        <v>2.9999999999999997E-4</v>
      </c>
      <c r="E31" s="17">
        <f t="shared" si="0"/>
        <v>223.00030000000001</v>
      </c>
      <c r="F31" t="str">
        <f>wyniki!$A$35</f>
        <v>SP2 Chorzele</v>
      </c>
      <c r="G31">
        <f>wyniki!G41</f>
        <v>0</v>
      </c>
      <c r="J31" s="93" t="str">
        <f t="shared" si="1"/>
        <v>Spiechowicz Lidia</v>
      </c>
      <c r="K31" s="77">
        <f>LARGE($E$2:$E$241,30)</f>
        <v>228.00064</v>
      </c>
      <c r="L31" s="67">
        <f t="shared" si="3"/>
        <v>64</v>
      </c>
      <c r="M31" s="85" t="str">
        <f t="shared" si="2"/>
        <v>SP3 Piaseczno</v>
      </c>
      <c r="N31" s="39">
        <v>30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2:34" ht="17.25" thickTop="1" thickBot="1">
      <c r="B32" t="str">
        <f>wyniki!B43</f>
        <v>Borys Paulina</v>
      </c>
      <c r="C32">
        <f>wyniki!N43</f>
        <v>276</v>
      </c>
      <c r="D32">
        <v>3.1E-4</v>
      </c>
      <c r="E32" s="17">
        <f t="shared" si="0"/>
        <v>276.00031000000001</v>
      </c>
      <c r="F32" t="str">
        <f>wyniki!$A$42</f>
        <v>SP Bieniewice</v>
      </c>
      <c r="G32">
        <f>wyniki!G43</f>
        <v>0</v>
      </c>
      <c r="J32" s="93" t="str">
        <f t="shared" si="1"/>
        <v>Zasowska Zofia</v>
      </c>
      <c r="K32" s="77">
        <f>LARGE($E$2:$E$241,31)</f>
        <v>228.00036</v>
      </c>
      <c r="L32" s="67">
        <f t="shared" si="3"/>
        <v>36</v>
      </c>
      <c r="M32" s="85" t="str">
        <f t="shared" si="2"/>
        <v>SP Bieniewice</v>
      </c>
      <c r="N32" s="39">
        <v>31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2:34" ht="17.25" thickTop="1" thickBot="1">
      <c r="B33" t="str">
        <f>wyniki!B44</f>
        <v>Krzycka Joanna</v>
      </c>
      <c r="C33">
        <f>wyniki!N44</f>
        <v>223</v>
      </c>
      <c r="D33">
        <v>3.2000000000000003E-4</v>
      </c>
      <c r="E33" s="17">
        <f t="shared" si="0"/>
        <v>223.00031999999999</v>
      </c>
      <c r="F33" t="str">
        <f>wyniki!$A$42</f>
        <v>SP Bieniewice</v>
      </c>
      <c r="G33">
        <f>wyniki!G44</f>
        <v>0</v>
      </c>
      <c r="J33" s="93" t="str">
        <f t="shared" si="1"/>
        <v>Kowalska Antonina</v>
      </c>
      <c r="K33" s="77">
        <f>LARGE($E$2:$E$241,32)</f>
        <v>226.00009</v>
      </c>
      <c r="L33" s="67">
        <f t="shared" si="3"/>
        <v>9</v>
      </c>
      <c r="M33" s="85" t="str">
        <f t="shared" si="2"/>
        <v>SP204 Warszawa</v>
      </c>
      <c r="N33" s="39">
        <v>32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2:34" ht="17.25" thickTop="1" thickBot="1">
      <c r="B34" t="str">
        <f>wyniki!B45</f>
        <v>Obrębska Maja</v>
      </c>
      <c r="C34">
        <f>wyniki!N45</f>
        <v>195</v>
      </c>
      <c r="D34">
        <v>3.3E-4</v>
      </c>
      <c r="E34" s="17">
        <f t="shared" si="0"/>
        <v>195.00032999999999</v>
      </c>
      <c r="F34" t="str">
        <f>wyniki!$A$42</f>
        <v>SP Bieniewice</v>
      </c>
      <c r="G34">
        <f>wyniki!G45</f>
        <v>0</v>
      </c>
      <c r="J34" s="93" t="str">
        <f t="shared" si="1"/>
        <v>Hajdenrach Antonina</v>
      </c>
      <c r="K34" s="77">
        <f>LARGE($E$2:$E$241,33)</f>
        <v>224.00049999999999</v>
      </c>
      <c r="L34" s="67">
        <f t="shared" si="3"/>
        <v>50</v>
      </c>
      <c r="M34" s="85" t="str">
        <f t="shared" si="2"/>
        <v>SP Podkowa Leśna</v>
      </c>
      <c r="N34" s="39">
        <v>33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ht="17.25" thickTop="1" thickBot="1">
      <c r="B35" t="str">
        <f>wyniki!B46</f>
        <v>Wachowiak Maja</v>
      </c>
      <c r="C35">
        <f>wyniki!N46</f>
        <v>213</v>
      </c>
      <c r="D35">
        <v>3.4000000000000002E-4</v>
      </c>
      <c r="E35" s="17">
        <f t="shared" si="0"/>
        <v>213.00033999999999</v>
      </c>
      <c r="F35" t="str">
        <f>wyniki!$A$42</f>
        <v>SP Bieniewice</v>
      </c>
      <c r="G35">
        <f>wyniki!G46</f>
        <v>0</v>
      </c>
      <c r="J35" s="93" t="str">
        <f t="shared" si="1"/>
        <v>Krzycka Joanna</v>
      </c>
      <c r="K35" s="77">
        <f>LARGE($E$2:$E$241,34)</f>
        <v>223.00031999999999</v>
      </c>
      <c r="L35" s="67">
        <f t="shared" si="3"/>
        <v>32</v>
      </c>
      <c r="M35" s="85" t="str">
        <f t="shared" si="2"/>
        <v>SP Bieniewice</v>
      </c>
      <c r="N35" s="39">
        <v>34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ht="17.25" thickTop="1" thickBot="1">
      <c r="B36" t="str">
        <f>wyniki!B47</f>
        <v>Wolska Julia</v>
      </c>
      <c r="C36">
        <f>wyniki!N47</f>
        <v>232</v>
      </c>
      <c r="D36">
        <v>3.5E-4</v>
      </c>
      <c r="E36" s="17">
        <f t="shared" si="0"/>
        <v>232.00035</v>
      </c>
      <c r="F36" t="str">
        <f>wyniki!$A$42</f>
        <v>SP Bieniewice</v>
      </c>
      <c r="G36">
        <f>wyniki!G47</f>
        <v>0</v>
      </c>
      <c r="J36" s="93" t="str">
        <f t="shared" si="1"/>
        <v>Woźniak Maja</v>
      </c>
      <c r="K36" s="77">
        <f>LARGE($E$2:$E$241,35)</f>
        <v>223.00030000000001</v>
      </c>
      <c r="L36" s="67">
        <f t="shared" si="3"/>
        <v>30</v>
      </c>
      <c r="M36" s="85" t="str">
        <f t="shared" si="2"/>
        <v>SP2 Chorzele</v>
      </c>
      <c r="N36" s="39">
        <v>35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17.25" thickTop="1" thickBot="1">
      <c r="B37" t="str">
        <f>wyniki!B48</f>
        <v>Zasowska Zofia</v>
      </c>
      <c r="C37">
        <f>wyniki!N48</f>
        <v>228</v>
      </c>
      <c r="D37">
        <v>3.6000000000000002E-4</v>
      </c>
      <c r="E37" s="17">
        <f t="shared" si="0"/>
        <v>228.00036</v>
      </c>
      <c r="F37" t="str">
        <f>wyniki!$A$42</f>
        <v>SP Bieniewice</v>
      </c>
      <c r="G37">
        <f>wyniki!G48</f>
        <v>0</v>
      </c>
      <c r="J37" s="93" t="str">
        <f t="shared" si="1"/>
        <v>Niemyjska Aleksandra</v>
      </c>
      <c r="K37" s="77">
        <f>LARGE($E$2:$E$241,36)</f>
        <v>222.00021000000001</v>
      </c>
      <c r="L37" s="67">
        <f t="shared" si="3"/>
        <v>21</v>
      </c>
      <c r="M37" s="85" t="str">
        <f t="shared" si="2"/>
        <v>SP2 Ostrów Maz.</v>
      </c>
      <c r="N37" s="39">
        <v>36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7.25" thickTop="1" thickBot="1">
      <c r="B38" t="str">
        <f>wyniki!B50</f>
        <v>Zabadała Aleksandra</v>
      </c>
      <c r="C38">
        <f>wyniki!N50</f>
        <v>272</v>
      </c>
      <c r="D38">
        <v>3.6999999999999999E-4</v>
      </c>
      <c r="E38" s="17">
        <f t="shared" si="0"/>
        <v>272.00036999999998</v>
      </c>
      <c r="F38" t="str">
        <f>wyniki!$A$49</f>
        <v>SP2 Węgrów</v>
      </c>
      <c r="G38">
        <f>wyniki!G50</f>
        <v>0</v>
      </c>
      <c r="J38" s="93" t="str">
        <f t="shared" si="1"/>
        <v>Dobrowolska Nikola</v>
      </c>
      <c r="K38" s="77">
        <f>LARGE($E$2:$E$241,37)</f>
        <v>221.00067999999999</v>
      </c>
      <c r="L38" s="67">
        <f t="shared" si="3"/>
        <v>68</v>
      </c>
      <c r="M38" s="85" t="str">
        <f t="shared" si="2"/>
        <v>ZSP Jedlińsk</v>
      </c>
      <c r="N38" s="39">
        <v>37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7.25" thickTop="1" thickBot="1">
      <c r="B39" t="str">
        <f>wyniki!B51</f>
        <v>Jachowicz Roksana</v>
      </c>
      <c r="C39">
        <f>wyniki!N51</f>
        <v>297</v>
      </c>
      <c r="D39">
        <v>3.8000000000000002E-4</v>
      </c>
      <c r="E39" s="17">
        <f t="shared" si="0"/>
        <v>297.00038000000001</v>
      </c>
      <c r="F39" t="str">
        <f>wyniki!$A$49</f>
        <v>SP2 Węgrów</v>
      </c>
      <c r="G39">
        <f>wyniki!G51</f>
        <v>0</v>
      </c>
      <c r="J39" s="93" t="str">
        <f t="shared" si="1"/>
        <v>Walczak Łucja</v>
      </c>
      <c r="K39" s="77">
        <f>LARGE($E$2:$E$241,38)</f>
        <v>219.00069999999999</v>
      </c>
      <c r="L39" s="67">
        <f t="shared" si="3"/>
        <v>70</v>
      </c>
      <c r="M39" s="85" t="str">
        <f t="shared" si="2"/>
        <v>ZSP Jedlińsk</v>
      </c>
      <c r="N39" s="39">
        <v>38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7.25" thickTop="1" thickBot="1">
      <c r="B40" t="str">
        <f>wyniki!B52</f>
        <v>Mikołajewska Iga</v>
      </c>
      <c r="C40">
        <f>wyniki!N52</f>
        <v>180</v>
      </c>
      <c r="D40">
        <v>3.8999999999999999E-4</v>
      </c>
      <c r="E40" s="17">
        <f t="shared" si="0"/>
        <v>180.00039000000001</v>
      </c>
      <c r="F40" t="str">
        <f>wyniki!$A$49</f>
        <v>SP2 Węgrów</v>
      </c>
      <c r="G40">
        <f>wyniki!G52</f>
        <v>0</v>
      </c>
      <c r="J40" s="93" t="str">
        <f t="shared" si="1"/>
        <v>Żaczek Nikola</v>
      </c>
      <c r="K40" s="77">
        <f>LARGE($E$2:$E$241,39)</f>
        <v>217.00072</v>
      </c>
      <c r="L40" s="67">
        <f t="shared" si="3"/>
        <v>72</v>
      </c>
      <c r="M40" s="85" t="str">
        <f t="shared" si="2"/>
        <v>ZSP Jedlińsk</v>
      </c>
      <c r="N40" s="39">
        <v>39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ht="17.25" thickTop="1" thickBot="1">
      <c r="B41" t="str">
        <f>wyniki!B53</f>
        <v>Wąsożnik Zofia</v>
      </c>
      <c r="C41">
        <f>wyniki!N53</f>
        <v>283</v>
      </c>
      <c r="D41">
        <v>4.0000000000000002E-4</v>
      </c>
      <c r="E41" s="17">
        <f t="shared" si="0"/>
        <v>283.00040000000001</v>
      </c>
      <c r="F41" t="str">
        <f>wyniki!$A$49</f>
        <v>SP2 Węgrów</v>
      </c>
      <c r="G41">
        <f>wyniki!G53</f>
        <v>0</v>
      </c>
      <c r="J41" s="93" t="str">
        <f t="shared" si="1"/>
        <v>Kołakowska Gabriela</v>
      </c>
      <c r="K41" s="77">
        <f>LARGE($E$2:$E$241,40)</f>
        <v>217.00020000000001</v>
      </c>
      <c r="L41" s="67">
        <f t="shared" si="3"/>
        <v>20</v>
      </c>
      <c r="M41" s="85" t="str">
        <f t="shared" si="2"/>
        <v>SP2 Ostrów Maz.</v>
      </c>
      <c r="N41" s="39">
        <v>40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ht="17.25" thickTop="1" thickBot="1">
      <c r="B42" t="str">
        <f>wyniki!B54</f>
        <v>Wrzeszcz Anna</v>
      </c>
      <c r="C42">
        <f>wyniki!N54</f>
        <v>202</v>
      </c>
      <c r="D42">
        <v>4.0999999999999999E-4</v>
      </c>
      <c r="E42" s="17">
        <f t="shared" si="0"/>
        <v>202.00040999999999</v>
      </c>
      <c r="F42" t="str">
        <f>wyniki!$A$49</f>
        <v>SP2 Węgrów</v>
      </c>
      <c r="G42">
        <f>wyniki!G54</f>
        <v>0</v>
      </c>
      <c r="J42" s="93" t="str">
        <f t="shared" si="1"/>
        <v>Glegoła Paulia</v>
      </c>
      <c r="K42" s="77">
        <f>LARGE($E$2:$E$241,41)</f>
        <v>217.00003000000001</v>
      </c>
      <c r="L42" s="67">
        <f t="shared" si="3"/>
        <v>3</v>
      </c>
      <c r="M42" s="85" t="str">
        <f t="shared" si="2"/>
        <v>SP14 Warszawa</v>
      </c>
      <c r="N42" s="39">
        <v>41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2:34" ht="17.25" thickTop="1" thickBot="1">
      <c r="B43" t="str">
        <f>wyniki!B55</f>
        <v>Kmieć Zuzanna</v>
      </c>
      <c r="C43">
        <f>wyniki!N55</f>
        <v>198</v>
      </c>
      <c r="D43">
        <v>4.2000000000000002E-4</v>
      </c>
      <c r="E43" s="17">
        <f t="shared" si="0"/>
        <v>198.00041999999999</v>
      </c>
      <c r="F43" t="str">
        <f>wyniki!$A$49</f>
        <v>SP2 Węgrów</v>
      </c>
      <c r="G43">
        <f>wyniki!G55</f>
        <v>0</v>
      </c>
      <c r="J43" s="93" t="str">
        <f t="shared" si="1"/>
        <v>Bąbiak Gabriela</v>
      </c>
      <c r="K43" s="77">
        <f>LARGE($E$2:$E$241,42)</f>
        <v>215.00049000000001</v>
      </c>
      <c r="L43" s="67">
        <f t="shared" si="3"/>
        <v>49</v>
      </c>
      <c r="M43" s="85" t="str">
        <f t="shared" si="2"/>
        <v>SP Podkowa Leśna</v>
      </c>
      <c r="N43" s="39">
        <v>42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2:34" ht="17.25" thickTop="1" thickBot="1">
      <c r="B44" t="str">
        <f>wyniki!B57</f>
        <v>Chromińska Maja</v>
      </c>
      <c r="C44">
        <f>wyniki!N57</f>
        <v>279</v>
      </c>
      <c r="D44">
        <v>4.2999999999999999E-4</v>
      </c>
      <c r="E44" s="17">
        <f t="shared" si="0"/>
        <v>279.00042999999999</v>
      </c>
      <c r="F44" t="str">
        <f>wyniki!$A$56</f>
        <v>SP11 Siedlce</v>
      </c>
      <c r="G44">
        <f>wyniki!G57</f>
        <v>0</v>
      </c>
      <c r="J44" s="93" t="str">
        <f t="shared" si="1"/>
        <v>Wachowiak Maja</v>
      </c>
      <c r="K44" s="77">
        <f>LARGE($E$2:$E$241,43)</f>
        <v>213.00033999999999</v>
      </c>
      <c r="L44" s="67">
        <f t="shared" si="3"/>
        <v>34</v>
      </c>
      <c r="M44" s="85" t="str">
        <f t="shared" si="2"/>
        <v>SP Bieniewice</v>
      </c>
      <c r="N44" s="39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2:34" ht="17.25" thickTop="1" thickBot="1">
      <c r="B45" t="str">
        <f>wyniki!B58</f>
        <v>Fiuk Julia</v>
      </c>
      <c r="C45">
        <f>wyniki!N58</f>
        <v>236</v>
      </c>
      <c r="D45">
        <v>4.4000000000000002E-4</v>
      </c>
      <c r="E45" s="17">
        <f t="shared" si="0"/>
        <v>236.00044</v>
      </c>
      <c r="F45" t="str">
        <f>wyniki!$A$56</f>
        <v>SP11 Siedlce</v>
      </c>
      <c r="G45">
        <f>wyniki!G58</f>
        <v>0</v>
      </c>
      <c r="J45" s="93" t="str">
        <f t="shared" si="1"/>
        <v>Cisowska Lena</v>
      </c>
      <c r="K45" s="77">
        <f>LARGE($E$2:$E$241,44)</f>
        <v>211.00006999999999</v>
      </c>
      <c r="L45" s="67">
        <f t="shared" si="3"/>
        <v>7</v>
      </c>
      <c r="M45" s="85" t="str">
        <f t="shared" si="2"/>
        <v>SP204 Warszawa</v>
      </c>
      <c r="N45" s="39">
        <v>44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4" ht="17.25" thickTop="1" thickBot="1">
      <c r="B46" t="str">
        <f>wyniki!B59</f>
        <v>Kowal Natalia</v>
      </c>
      <c r="C46">
        <f>wyniki!N59</f>
        <v>201</v>
      </c>
      <c r="D46">
        <v>4.4999999999999999E-4</v>
      </c>
      <c r="E46" s="17">
        <f t="shared" si="0"/>
        <v>201.00045</v>
      </c>
      <c r="F46" t="str">
        <f>wyniki!$A$56</f>
        <v>SP11 Siedlce</v>
      </c>
      <c r="G46">
        <f>wyniki!G59</f>
        <v>0</v>
      </c>
      <c r="J46" s="93" t="str">
        <f t="shared" si="1"/>
        <v>Maj Amelia</v>
      </c>
      <c r="K46" s="77">
        <f>LARGE($E$2:$E$241,45)</f>
        <v>209.00015999999999</v>
      </c>
      <c r="L46" s="67">
        <f t="shared" si="3"/>
        <v>16</v>
      </c>
      <c r="M46" s="85" t="str">
        <f t="shared" si="2"/>
        <v>PSP 2 Radom</v>
      </c>
      <c r="N46" s="39">
        <v>45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34" ht="17.25" thickTop="1" thickBot="1">
      <c r="B47" t="str">
        <f>wyniki!B60</f>
        <v>Mościcka Gabriela</v>
      </c>
      <c r="C47">
        <f>wyniki!N60</f>
        <v>204</v>
      </c>
      <c r="D47">
        <v>4.6000000000000001E-4</v>
      </c>
      <c r="E47" s="17">
        <f t="shared" si="0"/>
        <v>204.00046</v>
      </c>
      <c r="F47" t="str">
        <f>wyniki!$A$56</f>
        <v>SP11 Siedlce</v>
      </c>
      <c r="G47">
        <f>wyniki!G60</f>
        <v>0</v>
      </c>
      <c r="J47" s="93" t="str">
        <f t="shared" si="1"/>
        <v>Borysiuk Gaja</v>
      </c>
      <c r="K47" s="77">
        <f>LARGE($E$2:$E$241,46)</f>
        <v>208.00062</v>
      </c>
      <c r="L47" s="67">
        <f t="shared" si="3"/>
        <v>62</v>
      </c>
      <c r="M47" s="85" t="str">
        <f t="shared" si="2"/>
        <v>SP3 Piaseczno</v>
      </c>
      <c r="N47" s="39">
        <v>46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4" ht="17.25" thickTop="1" thickBot="1">
      <c r="B48" t="str">
        <f>wyniki!B61</f>
        <v>Niedziółka Weronika</v>
      </c>
      <c r="C48">
        <f>wyniki!N61</f>
        <v>275</v>
      </c>
      <c r="D48">
        <v>4.6999999999999999E-4</v>
      </c>
      <c r="E48" s="17">
        <f t="shared" si="0"/>
        <v>275.00047000000001</v>
      </c>
      <c r="F48" t="str">
        <f>wyniki!$A$56</f>
        <v>SP11 Siedlce</v>
      </c>
      <c r="G48">
        <f>wyniki!G61</f>
        <v>0</v>
      </c>
      <c r="J48" s="93" t="str">
        <f t="shared" si="1"/>
        <v>Mościcka Gabriela</v>
      </c>
      <c r="K48" s="77">
        <f>LARGE($E$2:$E$241,47)</f>
        <v>204.00046</v>
      </c>
      <c r="L48" s="67">
        <f t="shared" si="3"/>
        <v>46</v>
      </c>
      <c r="M48" s="85" t="str">
        <f t="shared" si="2"/>
        <v>SP11 Siedlce</v>
      </c>
      <c r="N48" s="39">
        <v>47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2:34" ht="17.25" thickTop="1" thickBot="1">
      <c r="B49" t="str">
        <f>wyniki!B62</f>
        <v>Rytel Emilia</v>
      </c>
      <c r="C49">
        <f>wyniki!N62</f>
        <v>275</v>
      </c>
      <c r="D49">
        <v>4.8000000000000001E-4</v>
      </c>
      <c r="E49" s="17">
        <f t="shared" si="0"/>
        <v>275.00047999999998</v>
      </c>
      <c r="F49" t="str">
        <f>wyniki!$A$56</f>
        <v>SP11 Siedlce</v>
      </c>
      <c r="G49">
        <f>wyniki!G62</f>
        <v>0</v>
      </c>
      <c r="J49" s="93" t="str">
        <f t="shared" si="1"/>
        <v>Wrzeszcz Anna</v>
      </c>
      <c r="K49" s="77">
        <f>LARGE($E$2:$E$241,48)</f>
        <v>202.00040999999999</v>
      </c>
      <c r="L49" s="67">
        <f t="shared" si="3"/>
        <v>41</v>
      </c>
      <c r="M49" s="85" t="str">
        <f t="shared" si="2"/>
        <v>SP2 Węgrów</v>
      </c>
      <c r="N49" s="39">
        <v>48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2:34" ht="17.25" thickTop="1" thickBot="1">
      <c r="B50" t="str">
        <f>wyniki!B64</f>
        <v>Bąbiak Gabriela</v>
      </c>
      <c r="C50">
        <f>wyniki!N64</f>
        <v>215</v>
      </c>
      <c r="D50">
        <v>4.8999999999999998E-4</v>
      </c>
      <c r="E50" s="17">
        <f t="shared" si="0"/>
        <v>215.00049000000001</v>
      </c>
      <c r="F50" t="str">
        <f>wyniki!$A$63</f>
        <v>SP Podkowa Leśna</v>
      </c>
      <c r="G50">
        <f>wyniki!G64</f>
        <v>0</v>
      </c>
      <c r="J50" s="93" t="str">
        <f t="shared" si="1"/>
        <v>Kowal Natalia</v>
      </c>
      <c r="K50" s="77">
        <f>LARGE($E$2:$E$241,49)</f>
        <v>201.00045</v>
      </c>
      <c r="L50" s="67">
        <f t="shared" si="3"/>
        <v>45</v>
      </c>
      <c r="M50" s="85" t="str">
        <f t="shared" si="2"/>
        <v>SP11 Siedlce</v>
      </c>
      <c r="N50" s="39">
        <v>49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2:34" ht="17.25" thickTop="1" thickBot="1">
      <c r="B51" t="str">
        <f>wyniki!B65</f>
        <v>Hajdenrach Antonina</v>
      </c>
      <c r="C51">
        <f>wyniki!N65</f>
        <v>224</v>
      </c>
      <c r="D51">
        <v>5.0000000000000001E-4</v>
      </c>
      <c r="E51" s="17">
        <f t="shared" si="0"/>
        <v>224.00049999999999</v>
      </c>
      <c r="F51" t="str">
        <f>wyniki!$A$63</f>
        <v>SP Podkowa Leśna</v>
      </c>
      <c r="G51">
        <f>wyniki!G65</f>
        <v>0</v>
      </c>
      <c r="J51" s="93" t="str">
        <f t="shared" si="1"/>
        <v>Jakubowska Liliana</v>
      </c>
      <c r="K51" s="77">
        <f>LARGE($E$2:$E$241,50)</f>
        <v>201.00013999999999</v>
      </c>
      <c r="L51" s="67">
        <f t="shared" si="3"/>
        <v>14</v>
      </c>
      <c r="M51" s="85" t="str">
        <f t="shared" si="2"/>
        <v>PSP 2 Radom</v>
      </c>
      <c r="N51" s="39">
        <v>50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2:34" ht="17.25" thickTop="1" thickBot="1">
      <c r="B52" t="str">
        <f>wyniki!B66</f>
        <v>Kolenda Zofia</v>
      </c>
      <c r="C52">
        <f>wyniki!N66</f>
        <v>284</v>
      </c>
      <c r="D52">
        <v>5.1000000000000004E-4</v>
      </c>
      <c r="E52" s="17">
        <f t="shared" si="0"/>
        <v>284.00051000000002</v>
      </c>
      <c r="F52" t="str">
        <f>wyniki!$A$63</f>
        <v>SP Podkowa Leśna</v>
      </c>
      <c r="G52">
        <f>wyniki!G66</f>
        <v>0</v>
      </c>
      <c r="J52" s="93" t="str">
        <f t="shared" si="1"/>
        <v>Adamczyk Michalina</v>
      </c>
      <c r="K52" s="77">
        <f>LARGE($E$2:$E$241,51)</f>
        <v>200.00067000000001</v>
      </c>
      <c r="L52" s="67">
        <f t="shared" si="3"/>
        <v>67</v>
      </c>
      <c r="M52" s="85" t="str">
        <f t="shared" si="2"/>
        <v>ZSP Jedlińsk</v>
      </c>
      <c r="N52" s="39">
        <v>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7.25" thickTop="1" thickBot="1">
      <c r="B53" t="str">
        <f>wyniki!B67</f>
        <v>Krutkowska Amelia</v>
      </c>
      <c r="C53">
        <f>wyniki!N67</f>
        <v>268</v>
      </c>
      <c r="D53">
        <v>5.1999999999999995E-4</v>
      </c>
      <c r="E53" s="17">
        <f t="shared" si="0"/>
        <v>268.00051999999999</v>
      </c>
      <c r="F53" t="str">
        <f>wyniki!$A$63</f>
        <v>SP Podkowa Leśna</v>
      </c>
      <c r="G53">
        <f>wyniki!G67</f>
        <v>0</v>
      </c>
      <c r="J53" s="93" t="str">
        <f t="shared" si="1"/>
        <v>Kmieć Zuzanna</v>
      </c>
      <c r="K53" s="77">
        <f>LARGE($E$2:$E$241,52)</f>
        <v>198.00041999999999</v>
      </c>
      <c r="L53" s="67">
        <f t="shared" si="3"/>
        <v>42</v>
      </c>
      <c r="M53" s="85" t="str">
        <f t="shared" si="2"/>
        <v>SP2 Węgrów</v>
      </c>
      <c r="N53" s="39">
        <v>52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7.25" thickTop="1" thickBot="1">
      <c r="B54" t="str">
        <f>wyniki!B68</f>
        <v>Macutkiewicz Wiktoria</v>
      </c>
      <c r="C54">
        <f>wyniki!N68</f>
        <v>249</v>
      </c>
      <c r="D54">
        <v>5.2999999999999998E-4</v>
      </c>
      <c r="E54" s="17">
        <f t="shared" si="0"/>
        <v>249.00053</v>
      </c>
      <c r="F54" t="str">
        <f>wyniki!$A$63</f>
        <v>SP Podkowa Leśna</v>
      </c>
      <c r="G54">
        <f>wyniki!G68</f>
        <v>0</v>
      </c>
      <c r="J54" s="93" t="str">
        <f t="shared" si="1"/>
        <v>Pazio Zofia</v>
      </c>
      <c r="K54" s="77">
        <f>LARGE($E$2:$E$241,53)</f>
        <v>195.00058000000001</v>
      </c>
      <c r="L54" s="67">
        <f t="shared" si="3"/>
        <v>58</v>
      </c>
      <c r="M54" s="85" t="str">
        <f t="shared" si="2"/>
        <v>ZSP Lesznowola</v>
      </c>
      <c r="N54" s="39">
        <v>53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7.25" thickTop="1" thickBot="1">
      <c r="B55" t="str">
        <f>wyniki!B69</f>
        <v>Tryzno Alicja</v>
      </c>
      <c r="C55">
        <f>wyniki!N69</f>
        <v>305</v>
      </c>
      <c r="D55">
        <v>5.4000000000000001E-4</v>
      </c>
      <c r="E55" s="17">
        <f t="shared" si="0"/>
        <v>305.00054</v>
      </c>
      <c r="F55" t="str">
        <f>wyniki!$A$63</f>
        <v>SP Podkowa Leśna</v>
      </c>
      <c r="G55">
        <f>wyniki!G69</f>
        <v>0</v>
      </c>
      <c r="J55" s="93" t="str">
        <f t="shared" si="1"/>
        <v>Obrębska Maja</v>
      </c>
      <c r="K55" s="77">
        <f>LARGE($E$2:$E$241,54)</f>
        <v>195.00032999999999</v>
      </c>
      <c r="L55" s="67">
        <f t="shared" si="3"/>
        <v>33</v>
      </c>
      <c r="M55" s="85" t="str">
        <f t="shared" si="2"/>
        <v>SP Bieniewice</v>
      </c>
      <c r="N55" s="39">
        <v>54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7.25" thickTop="1" thickBot="1">
      <c r="B56" t="str">
        <f>wyniki!B71</f>
        <v>Brzezińska Kinga</v>
      </c>
      <c r="C56">
        <f>wyniki!N71</f>
        <v>171</v>
      </c>
      <c r="D56">
        <v>5.5000000000000003E-4</v>
      </c>
      <c r="E56" s="17">
        <f t="shared" si="0"/>
        <v>171.00055</v>
      </c>
      <c r="F56" t="str">
        <f>wyniki!$A$70</f>
        <v>ZSP Lesznowola</v>
      </c>
      <c r="G56">
        <f>wyniki!G71</f>
        <v>0</v>
      </c>
      <c r="J56" s="93" t="str">
        <f t="shared" si="1"/>
        <v>Wikalińska Maria</v>
      </c>
      <c r="K56" s="77">
        <f>LARGE($E$2:$E$241,55)</f>
        <v>193.00005999999999</v>
      </c>
      <c r="L56" s="67">
        <f t="shared" si="3"/>
        <v>6</v>
      </c>
      <c r="M56" s="85" t="str">
        <f t="shared" si="2"/>
        <v>SP14 Warszawa</v>
      </c>
      <c r="N56" s="39">
        <v>55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7.25" thickTop="1" thickBot="1">
      <c r="B57" t="str">
        <f>wyniki!B72</f>
        <v>Marcisz Anna</v>
      </c>
      <c r="C57">
        <f>wyniki!N72</f>
        <v>161</v>
      </c>
      <c r="D57">
        <v>5.5999999999999995E-4</v>
      </c>
      <c r="E57" s="17">
        <f t="shared" si="0"/>
        <v>161.00056000000001</v>
      </c>
      <c r="F57" t="str">
        <f>wyniki!$A$70</f>
        <v>ZSP Lesznowola</v>
      </c>
      <c r="G57">
        <f>wyniki!G72</f>
        <v>0</v>
      </c>
      <c r="J57" s="93" t="str">
        <f t="shared" si="1"/>
        <v>Tyczyńska Lena</v>
      </c>
      <c r="K57" s="77">
        <f>LARGE($E$2:$E$241,56)</f>
        <v>191.00018</v>
      </c>
      <c r="L57" s="67">
        <f t="shared" si="3"/>
        <v>18</v>
      </c>
      <c r="M57" s="85" t="str">
        <f t="shared" si="2"/>
        <v>PSP 2 Radom</v>
      </c>
      <c r="N57" s="39">
        <v>56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7.25" thickTop="1" thickBot="1">
      <c r="B58" t="str">
        <f>wyniki!B73</f>
        <v>Mariańska Magdalena</v>
      </c>
      <c r="C58">
        <f>wyniki!N73</f>
        <v>143</v>
      </c>
      <c r="D58">
        <v>5.6999999999999998E-4</v>
      </c>
      <c r="E58" s="17">
        <f t="shared" si="0"/>
        <v>143.00057000000001</v>
      </c>
      <c r="F58" t="str">
        <f>wyniki!$A$70</f>
        <v>ZSP Lesznowola</v>
      </c>
      <c r="G58">
        <f>wyniki!G73</f>
        <v>0</v>
      </c>
      <c r="J58" s="93" t="str">
        <f t="shared" si="1"/>
        <v>Szablewska Lena</v>
      </c>
      <c r="K58" s="77">
        <f>LARGE($E$2:$E$241,57)</f>
        <v>189.00059999999999</v>
      </c>
      <c r="L58" s="67">
        <f t="shared" si="3"/>
        <v>60</v>
      </c>
      <c r="M58" s="85" t="str">
        <f t="shared" si="2"/>
        <v>ZSP Lesznowola</v>
      </c>
      <c r="N58" s="39">
        <v>57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7.25" thickTop="1" thickBot="1">
      <c r="B59" t="str">
        <f>wyniki!B74</f>
        <v>Pazio Zofia</v>
      </c>
      <c r="C59">
        <f>wyniki!N74</f>
        <v>195</v>
      </c>
      <c r="D59">
        <v>5.8E-4</v>
      </c>
      <c r="E59" s="17">
        <f t="shared" si="0"/>
        <v>195.00058000000001</v>
      </c>
      <c r="F59" t="str">
        <f>wyniki!$A$70</f>
        <v>ZSP Lesznowola</v>
      </c>
      <c r="G59">
        <f>wyniki!G74</f>
        <v>0</v>
      </c>
      <c r="J59" s="93" t="str">
        <f t="shared" si="1"/>
        <v>Radgowska Maja</v>
      </c>
      <c r="K59" s="77">
        <f>LARGE($E$2:$E$241,58)</f>
        <v>183.00023999999999</v>
      </c>
      <c r="L59" s="67">
        <f t="shared" si="3"/>
        <v>24</v>
      </c>
      <c r="M59" s="85" t="str">
        <f t="shared" si="2"/>
        <v>SP2 Ostrów Maz.</v>
      </c>
      <c r="N59" s="39">
        <v>58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7.25" thickTop="1" thickBot="1">
      <c r="B60" t="str">
        <f>wyniki!B75</f>
        <v>Przepiórka Julia</v>
      </c>
      <c r="C60">
        <f>wyniki!N75</f>
        <v>160</v>
      </c>
      <c r="D60">
        <v>5.9000000000000003E-4</v>
      </c>
      <c r="E60" s="17">
        <f t="shared" si="0"/>
        <v>160.00058999999999</v>
      </c>
      <c r="F60" t="str">
        <f>wyniki!$A$70</f>
        <v>ZSP Lesznowola</v>
      </c>
      <c r="G60">
        <f>wyniki!G75</f>
        <v>0</v>
      </c>
      <c r="J60" s="93" t="str">
        <f t="shared" si="1"/>
        <v>Mikołajewska Iga</v>
      </c>
      <c r="K60" s="77">
        <f>LARGE($E$2:$E$241,59)</f>
        <v>180.00039000000001</v>
      </c>
      <c r="L60" s="67">
        <f t="shared" si="3"/>
        <v>39</v>
      </c>
      <c r="M60" s="85" t="str">
        <f t="shared" si="2"/>
        <v>SP2 Węgrów</v>
      </c>
      <c r="N60" s="39">
        <v>59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7.25" thickTop="1" thickBot="1">
      <c r="B61" t="str">
        <f>wyniki!B76</f>
        <v>Szablewska Lena</v>
      </c>
      <c r="C61">
        <f>wyniki!N76</f>
        <v>189</v>
      </c>
      <c r="D61">
        <v>5.9999999999999995E-4</v>
      </c>
      <c r="E61" s="17">
        <f t="shared" si="0"/>
        <v>189.00059999999999</v>
      </c>
      <c r="F61" t="str">
        <f>wyniki!$A$70</f>
        <v>ZSP Lesznowola</v>
      </c>
      <c r="G61">
        <f>wyniki!G76</f>
        <v>0</v>
      </c>
      <c r="J61" s="93" t="str">
        <f t="shared" si="1"/>
        <v>Wojsz Paulina</v>
      </c>
      <c r="K61" s="77">
        <f>LARGE($E$2:$E$241,60)</f>
        <v>179.00022999999999</v>
      </c>
      <c r="L61" s="67">
        <f t="shared" si="3"/>
        <v>23</v>
      </c>
      <c r="M61" s="85" t="str">
        <f t="shared" si="2"/>
        <v>SP2 Ostrów Maz.</v>
      </c>
      <c r="N61" s="39">
        <v>60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7.25" thickTop="1" thickBot="1">
      <c r="B62" t="str">
        <f>wyniki!B78</f>
        <v>Bany Monika</v>
      </c>
      <c r="C62">
        <f>wyniki!N78</f>
        <v>263</v>
      </c>
      <c r="D62">
        <v>6.0999999999999997E-4</v>
      </c>
      <c r="E62" s="17">
        <f t="shared" si="0"/>
        <v>263.00060999999999</v>
      </c>
      <c r="F62" t="str">
        <f>wyniki!$A$77</f>
        <v>SP3 Piaseczno</v>
      </c>
      <c r="G62">
        <f>wyniki!G78</f>
        <v>0</v>
      </c>
      <c r="J62" s="93" t="str">
        <f t="shared" si="1"/>
        <v>Kąca Alicja</v>
      </c>
      <c r="K62" s="77">
        <f>LARGE($E$2:$E$241,61)</f>
        <v>177.00014999999999</v>
      </c>
      <c r="L62" s="67">
        <f t="shared" si="3"/>
        <v>15</v>
      </c>
      <c r="M62" s="85" t="str">
        <f t="shared" si="2"/>
        <v>PSP 2 Radom</v>
      </c>
      <c r="N62" s="39">
        <v>61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7.25" thickTop="1" thickBot="1">
      <c r="B63" t="str">
        <f>wyniki!B79</f>
        <v>Borysiuk Gaja</v>
      </c>
      <c r="C63">
        <f>wyniki!N79</f>
        <v>208</v>
      </c>
      <c r="D63">
        <v>6.2E-4</v>
      </c>
      <c r="E63" s="17">
        <f t="shared" si="0"/>
        <v>208.00062</v>
      </c>
      <c r="F63" t="str">
        <f>wyniki!$A$77</f>
        <v>SP3 Piaseczno</v>
      </c>
      <c r="G63">
        <f>wyniki!G79</f>
        <v>0</v>
      </c>
      <c r="J63" s="93" t="str">
        <f t="shared" si="1"/>
        <v>Brzezińska Kinga</v>
      </c>
      <c r="K63" s="77">
        <f>LARGE($E$2:$E$241,62)</f>
        <v>171.00055</v>
      </c>
      <c r="L63" s="67">
        <f t="shared" si="3"/>
        <v>55</v>
      </c>
      <c r="M63" s="85" t="str">
        <f t="shared" si="2"/>
        <v>ZSP Lesznowola</v>
      </c>
      <c r="N63" s="39">
        <v>62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7.25" thickTop="1" thickBot="1">
      <c r="B64" t="str">
        <f>wyniki!B80</f>
        <v>Sołtan Amelia</v>
      </c>
      <c r="C64">
        <f>wyniki!N80</f>
        <v>161</v>
      </c>
      <c r="D64">
        <v>6.3000000000000003E-4</v>
      </c>
      <c r="E64" s="17">
        <f t="shared" si="0"/>
        <v>161.00063</v>
      </c>
      <c r="F64" t="str">
        <f>wyniki!$A$77</f>
        <v>SP3 Piaseczno</v>
      </c>
      <c r="G64">
        <f>wyniki!G80</f>
        <v>0</v>
      </c>
      <c r="J64" s="93" t="str">
        <f t="shared" si="1"/>
        <v>Gawor Maria</v>
      </c>
      <c r="K64" s="77">
        <f>LARGE($E$2:$E$241,63)</f>
        <v>165.00013000000001</v>
      </c>
      <c r="L64" s="67">
        <f t="shared" si="3"/>
        <v>13</v>
      </c>
      <c r="M64" s="85" t="str">
        <f t="shared" si="2"/>
        <v>PSP 2 Radom</v>
      </c>
      <c r="N64" s="39">
        <v>63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7.25" thickTop="1" thickBot="1">
      <c r="B65" t="str">
        <f>wyniki!B81</f>
        <v>Spiechowicz Lidia</v>
      </c>
      <c r="C65">
        <f>wyniki!N81</f>
        <v>228</v>
      </c>
      <c r="D65">
        <v>6.4000000000000005E-4</v>
      </c>
      <c r="E65" s="17">
        <f t="shared" si="0"/>
        <v>228.00064</v>
      </c>
      <c r="F65" t="str">
        <f>wyniki!$A$77</f>
        <v>SP3 Piaseczno</v>
      </c>
      <c r="G65">
        <f>wyniki!G81</f>
        <v>0</v>
      </c>
      <c r="J65" s="93" t="str">
        <f t="shared" si="1"/>
        <v>Sołtan Amelia</v>
      </c>
      <c r="K65" s="77">
        <f>LARGE($E$2:$E$241,64)</f>
        <v>161.00063</v>
      </c>
      <c r="L65" s="67">
        <f t="shared" si="3"/>
        <v>63</v>
      </c>
      <c r="M65" s="85" t="str">
        <f t="shared" si="2"/>
        <v>SP3 Piaseczno</v>
      </c>
      <c r="N65" s="39">
        <v>64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7.25" thickTop="1" thickBot="1">
      <c r="B66" t="str">
        <f>wyniki!B82</f>
        <v>Szulc Amelia</v>
      </c>
      <c r="C66">
        <f>wyniki!N82</f>
        <v>142</v>
      </c>
      <c r="D66">
        <v>6.4999999999999997E-4</v>
      </c>
      <c r="E66" s="17">
        <f t="shared" si="0"/>
        <v>142.00065000000001</v>
      </c>
      <c r="F66" t="str">
        <f>wyniki!$A$77</f>
        <v>SP3 Piaseczno</v>
      </c>
      <c r="G66">
        <f>wyniki!G82</f>
        <v>0</v>
      </c>
      <c r="J66" s="93" t="str">
        <f t="shared" si="1"/>
        <v>Marcisz Anna</v>
      </c>
      <c r="K66" s="77">
        <f>LARGE($E$2:$E$241,65)</f>
        <v>161.00056000000001</v>
      </c>
      <c r="L66" s="67">
        <f t="shared" si="3"/>
        <v>56</v>
      </c>
      <c r="M66" s="85" t="str">
        <f t="shared" si="2"/>
        <v>ZSP Lesznowola</v>
      </c>
      <c r="N66" s="39">
        <v>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7.25" thickTop="1" thickBot="1">
      <c r="B67" t="str">
        <f>wyniki!B83</f>
        <v>Wilczyńska Maria</v>
      </c>
      <c r="C67">
        <f>wyniki!N83</f>
        <v>158</v>
      </c>
      <c r="D67">
        <v>6.6E-4</v>
      </c>
      <c r="E67" s="17">
        <f t="shared" ref="E67:E130" si="4">C67+D67</f>
        <v>158.00066000000001</v>
      </c>
      <c r="F67" t="str">
        <f>wyniki!$A$77</f>
        <v>SP3 Piaseczno</v>
      </c>
      <c r="G67">
        <f>wyniki!G83</f>
        <v>0</v>
      </c>
      <c r="J67" s="93" t="str">
        <f t="shared" ref="J67:J130" si="5">INDEX($B$2:$E$2411,L67,1)</f>
        <v>Przepiórka Julia</v>
      </c>
      <c r="K67" s="77">
        <f>LARGE($E$2:$E$241,66)</f>
        <v>160.00058999999999</v>
      </c>
      <c r="L67" s="67">
        <f t="shared" si="3"/>
        <v>59</v>
      </c>
      <c r="M67" s="85" t="str">
        <f t="shared" ref="M67:M130" si="6">INDEX($E$2:$F$241,L67,2)</f>
        <v>ZSP Lesznowola</v>
      </c>
      <c r="N67" s="39">
        <v>66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7.25" thickTop="1" thickBot="1">
      <c r="B68" t="str">
        <f>wyniki!B85</f>
        <v>Adamczyk Michalina</v>
      </c>
      <c r="C68">
        <f>wyniki!N85</f>
        <v>200</v>
      </c>
      <c r="D68">
        <v>6.7000000000000002E-4</v>
      </c>
      <c r="E68" s="17">
        <f t="shared" si="4"/>
        <v>200.00067000000001</v>
      </c>
      <c r="F68" t="str">
        <f>wyniki!$A$84</f>
        <v>ZSP Jedlińsk</v>
      </c>
      <c r="G68">
        <f>wyniki!G85</f>
        <v>0</v>
      </c>
      <c r="J68" s="93" t="str">
        <f t="shared" si="5"/>
        <v>Wilczyńska Maria</v>
      </c>
      <c r="K68" s="77">
        <f>LARGE($E$2:$E$241,67)</f>
        <v>158.00066000000001</v>
      </c>
      <c r="L68" s="67">
        <f t="shared" ref="L68:L131" si="7">MATCH(K68,$E$2:$E$241,0)</f>
        <v>66</v>
      </c>
      <c r="M68" s="85" t="str">
        <f t="shared" si="6"/>
        <v>SP3 Piaseczno</v>
      </c>
      <c r="N68" s="39">
        <v>67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7.25" thickTop="1" thickBot="1">
      <c r="B69" t="str">
        <f>wyniki!B86</f>
        <v>Dobrowolska Nikola</v>
      </c>
      <c r="C69">
        <f>wyniki!N86</f>
        <v>221</v>
      </c>
      <c r="D69">
        <v>6.8000000000000005E-4</v>
      </c>
      <c r="E69" s="17">
        <f t="shared" si="4"/>
        <v>221.00067999999999</v>
      </c>
      <c r="F69" t="str">
        <f>wyniki!$A$84</f>
        <v>ZSP Jedlińsk</v>
      </c>
      <c r="G69">
        <f>wyniki!G86</f>
        <v>0</v>
      </c>
      <c r="J69" s="93" t="str">
        <f t="shared" si="5"/>
        <v>Anielska Aleksandra</v>
      </c>
      <c r="K69" s="77">
        <f>LARGE($E$2:$E$241,68)</f>
        <v>154.00001</v>
      </c>
      <c r="L69" s="67">
        <f t="shared" si="7"/>
        <v>1</v>
      </c>
      <c r="M69" s="85" t="str">
        <f t="shared" si="6"/>
        <v>SP14 Warszawa</v>
      </c>
      <c r="N69" s="39">
        <v>68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7.25" thickTop="1" thickBot="1">
      <c r="B70" t="str">
        <f>wyniki!B87</f>
        <v>Gryz Amelia</v>
      </c>
      <c r="C70">
        <f>wyniki!N87</f>
        <v>244</v>
      </c>
      <c r="D70">
        <v>6.8999999999999997E-4</v>
      </c>
      <c r="E70" s="17">
        <f t="shared" si="4"/>
        <v>244.00068999999999</v>
      </c>
      <c r="F70" t="str">
        <f>wyniki!$A$84</f>
        <v>ZSP Jedlińsk</v>
      </c>
      <c r="G70">
        <f>wyniki!G87</f>
        <v>0</v>
      </c>
      <c r="J70" s="93" t="str">
        <f t="shared" si="5"/>
        <v>Żaczek Maja</v>
      </c>
      <c r="K70" s="77">
        <f>LARGE($E$2:$E$241,69)</f>
        <v>152.00071</v>
      </c>
      <c r="L70" s="67">
        <f t="shared" si="7"/>
        <v>71</v>
      </c>
      <c r="M70" s="85" t="str">
        <f t="shared" si="6"/>
        <v>ZSP Jedlińsk</v>
      </c>
      <c r="N70" s="39">
        <v>69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7.25" thickTop="1" thickBot="1">
      <c r="B71" t="str">
        <f>wyniki!B88</f>
        <v>Walczak Łucja</v>
      </c>
      <c r="C71">
        <f>wyniki!N88</f>
        <v>219</v>
      </c>
      <c r="D71">
        <v>6.9999999999999999E-4</v>
      </c>
      <c r="E71" s="17">
        <f t="shared" si="4"/>
        <v>219.00069999999999</v>
      </c>
      <c r="F71" t="str">
        <f>wyniki!$A$84</f>
        <v>ZSP Jedlińsk</v>
      </c>
      <c r="G71">
        <f>wyniki!G88</f>
        <v>0</v>
      </c>
      <c r="J71" s="93" t="str">
        <f t="shared" si="5"/>
        <v>Piotrowska Iga</v>
      </c>
      <c r="K71" s="77">
        <f>LARGE($E$2:$E$241,70)</f>
        <v>147.00017</v>
      </c>
      <c r="L71" s="67">
        <f t="shared" si="7"/>
        <v>17</v>
      </c>
      <c r="M71" s="85" t="str">
        <f t="shared" si="6"/>
        <v>PSP 2 Radom</v>
      </c>
      <c r="N71" s="39">
        <v>70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7.25" thickTop="1" thickBot="1">
      <c r="B72" t="str">
        <f>wyniki!B89</f>
        <v>Żaczek Maja</v>
      </c>
      <c r="C72">
        <f>wyniki!N89</f>
        <v>152</v>
      </c>
      <c r="D72">
        <v>7.1000000000000002E-4</v>
      </c>
      <c r="E72" s="17">
        <f t="shared" si="4"/>
        <v>152.00071</v>
      </c>
      <c r="F72" t="str">
        <f>wyniki!$A$84</f>
        <v>ZSP Jedlińsk</v>
      </c>
      <c r="G72">
        <f>wyniki!G89</f>
        <v>0</v>
      </c>
      <c r="J72" s="93" t="str">
        <f t="shared" si="5"/>
        <v>Mariańska Magdalena</v>
      </c>
      <c r="K72" s="77">
        <f>LARGE($E$2:$E$241,71)</f>
        <v>143.00057000000001</v>
      </c>
      <c r="L72" s="67">
        <f t="shared" si="7"/>
        <v>57</v>
      </c>
      <c r="M72" s="85" t="str">
        <f t="shared" si="6"/>
        <v>ZSP Lesznowola</v>
      </c>
      <c r="N72" s="39">
        <v>71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7.25" thickTop="1" thickBot="1">
      <c r="B73" t="str">
        <f>wyniki!B90</f>
        <v>Żaczek Nikola</v>
      </c>
      <c r="C73">
        <f>wyniki!N90</f>
        <v>217</v>
      </c>
      <c r="D73">
        <v>7.2000000000000005E-4</v>
      </c>
      <c r="E73" s="17">
        <f t="shared" si="4"/>
        <v>217.00072</v>
      </c>
      <c r="F73" t="str">
        <f>wyniki!$A$84</f>
        <v>ZSP Jedlińsk</v>
      </c>
      <c r="G73">
        <f>wyniki!G90</f>
        <v>0</v>
      </c>
      <c r="J73" s="93" t="str">
        <f t="shared" si="5"/>
        <v>Szulc Amelia</v>
      </c>
      <c r="K73" s="77">
        <f>LARGE($E$2:$E$241,72)</f>
        <v>142.00065000000001</v>
      </c>
      <c r="L73" s="67">
        <f t="shared" si="7"/>
        <v>65</v>
      </c>
      <c r="M73" s="85" t="str">
        <f t="shared" si="6"/>
        <v>SP3 Piaseczno</v>
      </c>
      <c r="N73" s="39">
        <v>72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7.25" thickTop="1" thickBot="1">
      <c r="B74">
        <f>wyniki!B92</f>
        <v>0</v>
      </c>
      <c r="C74">
        <f>wyniki!N92</f>
        <v>0</v>
      </c>
      <c r="D74">
        <v>7.2999999999999996E-4</v>
      </c>
      <c r="E74" s="17">
        <f t="shared" si="4"/>
        <v>7.2999999999999996E-4</v>
      </c>
      <c r="F74">
        <f>wyniki!$A$91</f>
        <v>0</v>
      </c>
      <c r="G74">
        <f>wyniki!G92</f>
        <v>0</v>
      </c>
      <c r="J74" s="93">
        <f t="shared" si="5"/>
        <v>0</v>
      </c>
      <c r="K74" s="77">
        <f>LARGE($E$2:$E$241,73)</f>
        <v>2.3999999999999998E-3</v>
      </c>
      <c r="L74" s="67">
        <f t="shared" si="7"/>
        <v>240</v>
      </c>
      <c r="M74" s="85">
        <f t="shared" si="6"/>
        <v>0</v>
      </c>
      <c r="N74" s="39">
        <v>73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7.25" thickTop="1" thickBot="1">
      <c r="B75">
        <f>wyniki!B93</f>
        <v>0</v>
      </c>
      <c r="C75">
        <f>wyniki!N93</f>
        <v>0</v>
      </c>
      <c r="D75">
        <v>7.3999999999999999E-4</v>
      </c>
      <c r="E75" s="17">
        <f t="shared" si="4"/>
        <v>7.3999999999999999E-4</v>
      </c>
      <c r="F75">
        <f>wyniki!$A$91</f>
        <v>0</v>
      </c>
      <c r="G75">
        <f>wyniki!G93</f>
        <v>0</v>
      </c>
      <c r="J75" s="93">
        <f t="shared" si="5"/>
        <v>0</v>
      </c>
      <c r="K75" s="77">
        <f>LARGE($E$2:$E$241,74)</f>
        <v>2.3900000000000002E-3</v>
      </c>
      <c r="L75" s="67">
        <f t="shared" si="7"/>
        <v>239</v>
      </c>
      <c r="M75" s="85">
        <f t="shared" si="6"/>
        <v>0</v>
      </c>
      <c r="N75" s="39">
        <v>74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7.25" thickTop="1" thickBot="1">
      <c r="B76">
        <f>wyniki!B94</f>
        <v>0</v>
      </c>
      <c r="C76">
        <f>wyniki!N94</f>
        <v>0</v>
      </c>
      <c r="D76">
        <v>7.5000000000000002E-4</v>
      </c>
      <c r="E76" s="17">
        <f t="shared" si="4"/>
        <v>7.5000000000000002E-4</v>
      </c>
      <c r="F76">
        <f>wyniki!$A$91</f>
        <v>0</v>
      </c>
      <c r="G76">
        <f>wyniki!G94</f>
        <v>0</v>
      </c>
      <c r="J76" s="93">
        <f t="shared" si="5"/>
        <v>0</v>
      </c>
      <c r="K76" s="77">
        <f>LARGE($E$2:$E$241,75)</f>
        <v>2.3800000000000002E-3</v>
      </c>
      <c r="L76" s="67">
        <f t="shared" si="7"/>
        <v>238</v>
      </c>
      <c r="M76" s="85">
        <f t="shared" si="6"/>
        <v>0</v>
      </c>
      <c r="N76" s="39">
        <v>75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7.25" thickTop="1" thickBot="1">
      <c r="B77">
        <f>wyniki!B95</f>
        <v>0</v>
      </c>
      <c r="C77">
        <f>wyniki!N95</f>
        <v>0</v>
      </c>
      <c r="D77">
        <v>7.6000000000000004E-4</v>
      </c>
      <c r="E77" s="17">
        <f t="shared" si="4"/>
        <v>7.6000000000000004E-4</v>
      </c>
      <c r="F77">
        <f>wyniki!$A$91</f>
        <v>0</v>
      </c>
      <c r="G77">
        <f>wyniki!G95</f>
        <v>0</v>
      </c>
      <c r="J77" s="93">
        <f t="shared" si="5"/>
        <v>0</v>
      </c>
      <c r="K77" s="77">
        <f>LARGE($E$2:$E$241,76)</f>
        <v>2.3700000000000001E-3</v>
      </c>
      <c r="L77" s="67">
        <f t="shared" si="7"/>
        <v>237</v>
      </c>
      <c r="M77" s="85">
        <f t="shared" si="6"/>
        <v>0</v>
      </c>
      <c r="N77" s="39">
        <v>76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7.25" thickTop="1" thickBot="1">
      <c r="B78">
        <f>wyniki!B96</f>
        <v>0</v>
      </c>
      <c r="C78">
        <f>wyniki!N96</f>
        <v>0</v>
      </c>
      <c r="D78">
        <v>7.6999999999999996E-4</v>
      </c>
      <c r="E78" s="17">
        <f t="shared" si="4"/>
        <v>7.6999999999999996E-4</v>
      </c>
      <c r="F78">
        <f>wyniki!$A$91</f>
        <v>0</v>
      </c>
      <c r="G78">
        <f>wyniki!G96</f>
        <v>0</v>
      </c>
      <c r="J78" s="93">
        <f t="shared" si="5"/>
        <v>0</v>
      </c>
      <c r="K78" s="77">
        <f>LARGE($E$2:$E$241,77)</f>
        <v>2.3600000000000001E-3</v>
      </c>
      <c r="L78" s="67">
        <f t="shared" si="7"/>
        <v>236</v>
      </c>
      <c r="M78" s="85">
        <f t="shared" si="6"/>
        <v>0</v>
      </c>
      <c r="N78" s="39">
        <v>77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7.25" thickTop="1" thickBot="1">
      <c r="B79">
        <f>wyniki!B97</f>
        <v>0</v>
      </c>
      <c r="C79">
        <f>wyniki!N97</f>
        <v>0</v>
      </c>
      <c r="D79">
        <v>7.7999999999999999E-4</v>
      </c>
      <c r="E79" s="17">
        <f t="shared" si="4"/>
        <v>7.7999999999999999E-4</v>
      </c>
      <c r="F79">
        <f>wyniki!$A$91</f>
        <v>0</v>
      </c>
      <c r="G79">
        <f>wyniki!G97</f>
        <v>0</v>
      </c>
      <c r="J79" s="93">
        <f t="shared" si="5"/>
        <v>0</v>
      </c>
      <c r="K79" s="77">
        <f>LARGE($E$2:$E$241,78)</f>
        <v>2.3500000000000001E-3</v>
      </c>
      <c r="L79" s="67">
        <f t="shared" si="7"/>
        <v>235</v>
      </c>
      <c r="M79" s="85">
        <f t="shared" si="6"/>
        <v>0</v>
      </c>
      <c r="N79" s="39">
        <v>78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7.25" thickTop="1" thickBot="1">
      <c r="B80">
        <f>wyniki!B99</f>
        <v>0</v>
      </c>
      <c r="C80">
        <f>wyniki!N99</f>
        <v>0</v>
      </c>
      <c r="D80">
        <v>7.9000000000000001E-4</v>
      </c>
      <c r="E80" s="17">
        <f t="shared" si="4"/>
        <v>7.9000000000000001E-4</v>
      </c>
      <c r="F80">
        <f>wyniki!$A$98</f>
        <v>0</v>
      </c>
      <c r="G80">
        <f>wyniki!G99</f>
        <v>0</v>
      </c>
      <c r="J80" s="93">
        <f t="shared" si="5"/>
        <v>0</v>
      </c>
      <c r="K80" s="77">
        <f>LARGE($E$2:$E$241,79)</f>
        <v>2.3400000000000001E-3</v>
      </c>
      <c r="L80" s="67">
        <f t="shared" si="7"/>
        <v>234</v>
      </c>
      <c r="M80" s="85">
        <f t="shared" si="6"/>
        <v>0</v>
      </c>
      <c r="N80" s="39">
        <v>79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7.25" thickTop="1" thickBot="1">
      <c r="B81">
        <f>wyniki!B100</f>
        <v>0</v>
      </c>
      <c r="C81">
        <f>wyniki!N100</f>
        <v>0</v>
      </c>
      <c r="D81">
        <v>8.0000000000000004E-4</v>
      </c>
      <c r="E81" s="17">
        <f t="shared" si="4"/>
        <v>8.0000000000000004E-4</v>
      </c>
      <c r="F81">
        <f>wyniki!$A$98</f>
        <v>0</v>
      </c>
      <c r="G81">
        <f>wyniki!G100</f>
        <v>0</v>
      </c>
      <c r="J81" s="93">
        <f t="shared" si="5"/>
        <v>0</v>
      </c>
      <c r="K81" s="77">
        <f>LARGE($E$2:$E$241,80)</f>
        <v>2.33E-3</v>
      </c>
      <c r="L81" s="67">
        <f t="shared" si="7"/>
        <v>233</v>
      </c>
      <c r="M81" s="85">
        <f t="shared" si="6"/>
        <v>0</v>
      </c>
      <c r="N81" s="39">
        <v>80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7.25" thickTop="1" thickBot="1">
      <c r="B82">
        <f>wyniki!B101</f>
        <v>0</v>
      </c>
      <c r="C82">
        <f>wyniki!N101</f>
        <v>0</v>
      </c>
      <c r="D82">
        <v>8.0999999999999996E-4</v>
      </c>
      <c r="E82" s="17">
        <f t="shared" si="4"/>
        <v>8.0999999999999996E-4</v>
      </c>
      <c r="F82">
        <f>wyniki!$A$98</f>
        <v>0</v>
      </c>
      <c r="G82">
        <f>wyniki!G101</f>
        <v>0</v>
      </c>
      <c r="J82" s="93">
        <f t="shared" si="5"/>
        <v>0</v>
      </c>
      <c r="K82" s="77">
        <f>LARGE($E$2:$E$241,81)</f>
        <v>2.32E-3</v>
      </c>
      <c r="L82" s="67">
        <f t="shared" si="7"/>
        <v>232</v>
      </c>
      <c r="M82" s="85">
        <f t="shared" si="6"/>
        <v>0</v>
      </c>
      <c r="N82" s="39">
        <v>81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7.25" thickTop="1" thickBot="1">
      <c r="B83">
        <f>wyniki!B102</f>
        <v>0</v>
      </c>
      <c r="C83">
        <f>wyniki!N102</f>
        <v>0</v>
      </c>
      <c r="D83">
        <v>8.1999999999999998E-4</v>
      </c>
      <c r="E83" s="17">
        <f t="shared" si="4"/>
        <v>8.1999999999999998E-4</v>
      </c>
      <c r="F83">
        <f>wyniki!$A$98</f>
        <v>0</v>
      </c>
      <c r="G83">
        <f>wyniki!G102</f>
        <v>0</v>
      </c>
      <c r="J83" s="93">
        <f t="shared" si="5"/>
        <v>0</v>
      </c>
      <c r="K83" s="77">
        <f>LARGE($E$2:$E$241,82)</f>
        <v>2.31E-3</v>
      </c>
      <c r="L83" s="67">
        <f t="shared" si="7"/>
        <v>231</v>
      </c>
      <c r="M83" s="85">
        <f t="shared" si="6"/>
        <v>0</v>
      </c>
      <c r="N83" s="39">
        <v>82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7.25" thickTop="1" thickBot="1">
      <c r="B84">
        <f>wyniki!B103</f>
        <v>0</v>
      </c>
      <c r="C84">
        <f>wyniki!N103</f>
        <v>0</v>
      </c>
      <c r="D84">
        <v>8.3000000000000001E-4</v>
      </c>
      <c r="E84" s="17">
        <f t="shared" si="4"/>
        <v>8.3000000000000001E-4</v>
      </c>
      <c r="F84">
        <f>wyniki!$A$98</f>
        <v>0</v>
      </c>
      <c r="G84">
        <f>wyniki!G103</f>
        <v>0</v>
      </c>
      <c r="J84" s="93">
        <f t="shared" si="5"/>
        <v>0</v>
      </c>
      <c r="K84" s="77">
        <f>LARGE($E$2:$E$241,83)</f>
        <v>2.3E-3</v>
      </c>
      <c r="L84" s="67">
        <f t="shared" si="7"/>
        <v>230</v>
      </c>
      <c r="M84" s="85">
        <f t="shared" si="6"/>
        <v>0</v>
      </c>
      <c r="N84" s="39">
        <v>83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7.25" thickTop="1" thickBot="1">
      <c r="B85">
        <f>wyniki!B104</f>
        <v>0</v>
      </c>
      <c r="C85">
        <f>wyniki!N104</f>
        <v>0</v>
      </c>
      <c r="D85">
        <v>8.4000000000000003E-4</v>
      </c>
      <c r="E85" s="17">
        <f t="shared" si="4"/>
        <v>8.4000000000000003E-4</v>
      </c>
      <c r="F85">
        <f>wyniki!$A$98</f>
        <v>0</v>
      </c>
      <c r="G85">
        <f>wyniki!G104</f>
        <v>0</v>
      </c>
      <c r="J85" s="93">
        <f t="shared" si="5"/>
        <v>0</v>
      </c>
      <c r="K85" s="77">
        <f>LARGE($E$2:$E$241,84)</f>
        <v>2.2899999999999999E-3</v>
      </c>
      <c r="L85" s="67">
        <f t="shared" si="7"/>
        <v>229</v>
      </c>
      <c r="M85" s="85">
        <f t="shared" si="6"/>
        <v>0</v>
      </c>
      <c r="N85" s="39">
        <v>84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7.25" thickTop="1" thickBot="1">
      <c r="B86">
        <f>wyniki!B106</f>
        <v>0</v>
      </c>
      <c r="C86">
        <f>wyniki!N106</f>
        <v>0</v>
      </c>
      <c r="D86">
        <v>8.4999999999999995E-4</v>
      </c>
      <c r="E86" s="17">
        <f t="shared" si="4"/>
        <v>8.4999999999999995E-4</v>
      </c>
      <c r="F86">
        <f>wyniki!$A$105</f>
        <v>0</v>
      </c>
      <c r="G86">
        <f>wyniki!G106</f>
        <v>0</v>
      </c>
      <c r="J86" s="93">
        <f t="shared" si="5"/>
        <v>0</v>
      </c>
      <c r="K86" s="77">
        <f>LARGE($E$2:$E$241,85)</f>
        <v>2.2799999999999999E-3</v>
      </c>
      <c r="L86" s="67">
        <f t="shared" si="7"/>
        <v>228</v>
      </c>
      <c r="M86" s="85">
        <f t="shared" si="6"/>
        <v>0</v>
      </c>
      <c r="N86" s="39">
        <v>85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7.25" thickTop="1" thickBot="1">
      <c r="B87">
        <f>wyniki!B107</f>
        <v>0</v>
      </c>
      <c r="C87">
        <f>wyniki!N107</f>
        <v>0</v>
      </c>
      <c r="D87">
        <v>8.5999999999999998E-4</v>
      </c>
      <c r="E87" s="17">
        <f t="shared" si="4"/>
        <v>8.5999999999999998E-4</v>
      </c>
      <c r="F87">
        <f>wyniki!$A$105</f>
        <v>0</v>
      </c>
      <c r="G87">
        <f>wyniki!G107</f>
        <v>0</v>
      </c>
      <c r="J87" s="93">
        <f t="shared" si="5"/>
        <v>0</v>
      </c>
      <c r="K87" s="77">
        <f>LARGE($E$2:$E$241,86)</f>
        <v>2.2699999999999999E-3</v>
      </c>
      <c r="L87" s="67">
        <f t="shared" si="7"/>
        <v>227</v>
      </c>
      <c r="M87" s="85">
        <f t="shared" si="6"/>
        <v>0</v>
      </c>
      <c r="N87" s="39">
        <v>86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7.25" thickTop="1" thickBot="1">
      <c r="B88">
        <f>wyniki!B108</f>
        <v>0</v>
      </c>
      <c r="C88">
        <f>wyniki!N108</f>
        <v>0</v>
      </c>
      <c r="D88">
        <v>8.7000000000000001E-4</v>
      </c>
      <c r="E88" s="17">
        <f t="shared" si="4"/>
        <v>8.7000000000000001E-4</v>
      </c>
      <c r="F88">
        <f>wyniki!$A$105</f>
        <v>0</v>
      </c>
      <c r="G88">
        <f>wyniki!G108</f>
        <v>0</v>
      </c>
      <c r="J88" s="93">
        <f t="shared" si="5"/>
        <v>0</v>
      </c>
      <c r="K88" s="77">
        <f>LARGE($E$2:$E$241,87)</f>
        <v>2.2599999999999999E-3</v>
      </c>
      <c r="L88" s="67">
        <f t="shared" si="7"/>
        <v>226</v>
      </c>
      <c r="M88" s="85">
        <f t="shared" si="6"/>
        <v>0</v>
      </c>
      <c r="N88" s="39">
        <v>87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7.25" thickTop="1" thickBot="1">
      <c r="B89">
        <f>wyniki!B109</f>
        <v>0</v>
      </c>
      <c r="C89">
        <f>wyniki!N109</f>
        <v>0</v>
      </c>
      <c r="D89">
        <v>8.8000000000000003E-4</v>
      </c>
      <c r="E89" s="17">
        <f t="shared" si="4"/>
        <v>8.8000000000000003E-4</v>
      </c>
      <c r="F89">
        <f>wyniki!$A$105</f>
        <v>0</v>
      </c>
      <c r="G89">
        <f>wyniki!G109</f>
        <v>0</v>
      </c>
      <c r="J89" s="93">
        <f t="shared" si="5"/>
        <v>0</v>
      </c>
      <c r="K89" s="77">
        <f>LARGE($E$2:$E$241,88)</f>
        <v>2.2499999999999998E-3</v>
      </c>
      <c r="L89" s="67">
        <f t="shared" si="7"/>
        <v>225</v>
      </c>
      <c r="M89" s="85">
        <f t="shared" si="6"/>
        <v>0</v>
      </c>
      <c r="N89" s="39">
        <v>88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7.25" thickTop="1" thickBot="1">
      <c r="B90">
        <f>wyniki!B110</f>
        <v>0</v>
      </c>
      <c r="C90">
        <f>wyniki!N110</f>
        <v>0</v>
      </c>
      <c r="D90">
        <v>8.8999999999999995E-4</v>
      </c>
      <c r="E90" s="17">
        <f t="shared" si="4"/>
        <v>8.8999999999999995E-4</v>
      </c>
      <c r="F90">
        <f>wyniki!$A$105</f>
        <v>0</v>
      </c>
      <c r="G90">
        <f>wyniki!G110</f>
        <v>0</v>
      </c>
      <c r="J90" s="93">
        <f t="shared" si="5"/>
        <v>0</v>
      </c>
      <c r="K90" s="77">
        <f>LARGE($E$2:$E$241,89)</f>
        <v>2.2399999999999998E-3</v>
      </c>
      <c r="L90" s="67">
        <f t="shared" si="7"/>
        <v>224</v>
      </c>
      <c r="M90" s="85">
        <f t="shared" si="6"/>
        <v>0</v>
      </c>
      <c r="N90" s="39">
        <v>89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7.25" thickTop="1" thickBot="1">
      <c r="B91">
        <f>wyniki!B111</f>
        <v>0</v>
      </c>
      <c r="C91">
        <f>wyniki!N111</f>
        <v>0</v>
      </c>
      <c r="D91">
        <v>8.9999999999999998E-4</v>
      </c>
      <c r="E91" s="17">
        <f t="shared" si="4"/>
        <v>8.9999999999999998E-4</v>
      </c>
      <c r="F91">
        <f>wyniki!$A$105</f>
        <v>0</v>
      </c>
      <c r="G91">
        <f>wyniki!G111</f>
        <v>0</v>
      </c>
      <c r="J91" s="93">
        <f t="shared" si="5"/>
        <v>0</v>
      </c>
      <c r="K91" s="77">
        <f>LARGE($E$2:$E$241,90)</f>
        <v>2.2300000000000002E-3</v>
      </c>
      <c r="L91" s="67">
        <f t="shared" si="7"/>
        <v>223</v>
      </c>
      <c r="M91" s="85">
        <f t="shared" si="6"/>
        <v>0</v>
      </c>
      <c r="N91" s="39">
        <v>90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7.25" thickTop="1" thickBot="1">
      <c r="B92">
        <f>wyniki!B113</f>
        <v>0</v>
      </c>
      <c r="C92">
        <f>wyniki!N113</f>
        <v>0</v>
      </c>
      <c r="D92">
        <v>9.1E-4</v>
      </c>
      <c r="E92" s="17">
        <f t="shared" si="4"/>
        <v>9.1E-4</v>
      </c>
      <c r="F92">
        <f>wyniki!$A$112</f>
        <v>0</v>
      </c>
      <c r="G92">
        <f>wyniki!G113</f>
        <v>0</v>
      </c>
      <c r="J92" s="93">
        <f t="shared" si="5"/>
        <v>0</v>
      </c>
      <c r="K92" s="77">
        <f>LARGE($E$2:$E$241,91)</f>
        <v>2.2200000000000002E-3</v>
      </c>
      <c r="L92" s="67">
        <f t="shared" si="7"/>
        <v>222</v>
      </c>
      <c r="M92" s="85">
        <f t="shared" si="6"/>
        <v>0</v>
      </c>
      <c r="N92" s="39">
        <v>91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7.25" thickTop="1" thickBot="1">
      <c r="B93">
        <f>wyniki!B114</f>
        <v>0</v>
      </c>
      <c r="C93">
        <f>wyniki!N114</f>
        <v>0</v>
      </c>
      <c r="D93">
        <v>9.2000000000000003E-4</v>
      </c>
      <c r="E93" s="17">
        <f t="shared" si="4"/>
        <v>9.2000000000000003E-4</v>
      </c>
      <c r="F93">
        <f>wyniki!$A$112</f>
        <v>0</v>
      </c>
      <c r="G93">
        <f>wyniki!G114</f>
        <v>0</v>
      </c>
      <c r="J93" s="93">
        <f t="shared" si="5"/>
        <v>0</v>
      </c>
      <c r="K93" s="77">
        <f>LARGE($E$2:$E$241,92)</f>
        <v>2.2100000000000002E-3</v>
      </c>
      <c r="L93" s="67">
        <f t="shared" si="7"/>
        <v>221</v>
      </c>
      <c r="M93" s="85">
        <f t="shared" si="6"/>
        <v>0</v>
      </c>
      <c r="N93" s="39">
        <v>92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7.25" thickTop="1" thickBot="1">
      <c r="B94">
        <f>wyniki!B115</f>
        <v>0</v>
      </c>
      <c r="C94">
        <f>wyniki!N115</f>
        <v>0</v>
      </c>
      <c r="D94">
        <v>9.3000000000000005E-4</v>
      </c>
      <c r="E94" s="17">
        <f t="shared" si="4"/>
        <v>9.3000000000000005E-4</v>
      </c>
      <c r="F94">
        <f>wyniki!$A$112</f>
        <v>0</v>
      </c>
      <c r="G94">
        <f>wyniki!G115</f>
        <v>0</v>
      </c>
      <c r="J94" s="93">
        <f t="shared" si="5"/>
        <v>0</v>
      </c>
      <c r="K94" s="77">
        <f>LARGE($E$2:$E$241,93)</f>
        <v>2.2000000000000001E-3</v>
      </c>
      <c r="L94" s="67">
        <f t="shared" si="7"/>
        <v>220</v>
      </c>
      <c r="M94" s="85">
        <f t="shared" si="6"/>
        <v>0</v>
      </c>
      <c r="N94" s="39">
        <v>93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7.25" thickTop="1" thickBot="1">
      <c r="B95">
        <f>wyniki!B116</f>
        <v>0</v>
      </c>
      <c r="C95">
        <f>wyniki!N116</f>
        <v>0</v>
      </c>
      <c r="D95">
        <v>9.3999999999999997E-4</v>
      </c>
      <c r="E95" s="17">
        <f t="shared" si="4"/>
        <v>9.3999999999999997E-4</v>
      </c>
      <c r="F95">
        <f>wyniki!$A$112</f>
        <v>0</v>
      </c>
      <c r="G95">
        <f>wyniki!G116</f>
        <v>0</v>
      </c>
      <c r="J95" s="93">
        <f t="shared" si="5"/>
        <v>0</v>
      </c>
      <c r="K95" s="77">
        <f>LARGE($E$2:$E$241,94)</f>
        <v>2.1900000000000001E-3</v>
      </c>
      <c r="L95" s="67">
        <f t="shared" si="7"/>
        <v>219</v>
      </c>
      <c r="M95" s="85">
        <f t="shared" si="6"/>
        <v>0</v>
      </c>
      <c r="N95" s="39">
        <v>94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7.25" thickTop="1" thickBot="1">
      <c r="B96">
        <f>wyniki!B117</f>
        <v>0</v>
      </c>
      <c r="C96">
        <f>wyniki!N117</f>
        <v>0</v>
      </c>
      <c r="D96">
        <v>9.5E-4</v>
      </c>
      <c r="E96" s="17">
        <f t="shared" si="4"/>
        <v>9.5E-4</v>
      </c>
      <c r="F96">
        <f>wyniki!$A$112</f>
        <v>0</v>
      </c>
      <c r="G96">
        <f>wyniki!G117</f>
        <v>0</v>
      </c>
      <c r="J96" s="93">
        <f t="shared" si="5"/>
        <v>0</v>
      </c>
      <c r="K96" s="77">
        <f>LARGE($E$2:$E$241,95)</f>
        <v>2.1800000000000001E-3</v>
      </c>
      <c r="L96" s="67">
        <f t="shared" si="7"/>
        <v>218</v>
      </c>
      <c r="M96" s="85">
        <f t="shared" si="6"/>
        <v>0</v>
      </c>
      <c r="N96" s="39">
        <v>95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7.25" thickTop="1" thickBot="1">
      <c r="B97">
        <f>wyniki!B118</f>
        <v>0</v>
      </c>
      <c r="C97">
        <f>wyniki!N118</f>
        <v>0</v>
      </c>
      <c r="D97">
        <v>9.6000000000000002E-4</v>
      </c>
      <c r="E97" s="17">
        <f t="shared" si="4"/>
        <v>9.6000000000000002E-4</v>
      </c>
      <c r="F97">
        <f>wyniki!$A$112</f>
        <v>0</v>
      </c>
      <c r="G97">
        <f>wyniki!G118</f>
        <v>0</v>
      </c>
      <c r="J97" s="93">
        <f t="shared" si="5"/>
        <v>0</v>
      </c>
      <c r="K97" s="77">
        <f>LARGE($E$2:$E$241,96)</f>
        <v>2.1700000000000001E-3</v>
      </c>
      <c r="L97" s="67">
        <f t="shared" si="7"/>
        <v>217</v>
      </c>
      <c r="M97" s="85">
        <f t="shared" si="6"/>
        <v>0</v>
      </c>
      <c r="N97" s="39">
        <v>96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7.25" thickTop="1" thickBot="1">
      <c r="B98">
        <f>wyniki!B120</f>
        <v>0</v>
      </c>
      <c r="C98">
        <f>wyniki!N120</f>
        <v>0</v>
      </c>
      <c r="D98">
        <v>9.7000000000000005E-4</v>
      </c>
      <c r="E98" s="17">
        <f t="shared" si="4"/>
        <v>9.7000000000000005E-4</v>
      </c>
      <c r="F98">
        <f>wyniki!$A$119</f>
        <v>0</v>
      </c>
      <c r="G98">
        <f>wyniki!G120</f>
        <v>0</v>
      </c>
      <c r="J98" s="93">
        <f t="shared" si="5"/>
        <v>0</v>
      </c>
      <c r="K98" s="77">
        <f>LARGE($E$2:$E$241,97)</f>
        <v>2.16E-3</v>
      </c>
      <c r="L98" s="67">
        <f t="shared" si="7"/>
        <v>216</v>
      </c>
      <c r="M98" s="85">
        <f t="shared" si="6"/>
        <v>0</v>
      </c>
      <c r="N98" s="39">
        <v>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7.25" thickTop="1" thickBot="1">
      <c r="B99">
        <f>wyniki!B121</f>
        <v>0</v>
      </c>
      <c r="C99">
        <f>wyniki!N121</f>
        <v>0</v>
      </c>
      <c r="D99">
        <v>9.7999999999999997E-4</v>
      </c>
      <c r="E99" s="17">
        <f t="shared" si="4"/>
        <v>9.7999999999999997E-4</v>
      </c>
      <c r="F99">
        <f>wyniki!$A$119</f>
        <v>0</v>
      </c>
      <c r="G99">
        <f>wyniki!G121</f>
        <v>0</v>
      </c>
      <c r="J99" s="93">
        <f t="shared" si="5"/>
        <v>0</v>
      </c>
      <c r="K99" s="77">
        <f>LARGE($E$2:$E$241,98)</f>
        <v>2.15E-3</v>
      </c>
      <c r="L99" s="67">
        <f t="shared" si="7"/>
        <v>215</v>
      </c>
      <c r="M99" s="85">
        <f t="shared" si="6"/>
        <v>0</v>
      </c>
      <c r="N99" s="39">
        <v>98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7.25" thickTop="1" thickBot="1">
      <c r="B100">
        <f>wyniki!B122</f>
        <v>0</v>
      </c>
      <c r="C100">
        <f>wyniki!N122</f>
        <v>0</v>
      </c>
      <c r="D100">
        <v>9.8999999999999999E-4</v>
      </c>
      <c r="E100" s="17">
        <f t="shared" si="4"/>
        <v>9.8999999999999999E-4</v>
      </c>
      <c r="F100">
        <f>wyniki!$A$119</f>
        <v>0</v>
      </c>
      <c r="G100">
        <f>wyniki!G122</f>
        <v>0</v>
      </c>
      <c r="J100" s="93">
        <f t="shared" si="5"/>
        <v>0</v>
      </c>
      <c r="K100" s="77">
        <f>LARGE($E$2:$E$241,99)</f>
        <v>2.14E-3</v>
      </c>
      <c r="L100" s="67">
        <f t="shared" si="7"/>
        <v>214</v>
      </c>
      <c r="M100" s="85">
        <f t="shared" si="6"/>
        <v>0</v>
      </c>
      <c r="N100" s="39">
        <v>99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7.25" thickTop="1" thickBot="1">
      <c r="B101">
        <f>wyniki!B123</f>
        <v>0</v>
      </c>
      <c r="C101">
        <f>wyniki!N123</f>
        <v>0</v>
      </c>
      <c r="D101">
        <v>1E-3</v>
      </c>
      <c r="E101" s="17">
        <f t="shared" si="4"/>
        <v>1E-3</v>
      </c>
      <c r="F101">
        <f>wyniki!$A$119</f>
        <v>0</v>
      </c>
      <c r="G101">
        <f>wyniki!G123</f>
        <v>0</v>
      </c>
      <c r="J101" s="93">
        <f t="shared" si="5"/>
        <v>0</v>
      </c>
      <c r="K101" s="77">
        <f>LARGE($E$2:$E$241,100)</f>
        <v>2.1299999999999999E-3</v>
      </c>
      <c r="L101" s="67">
        <f t="shared" si="7"/>
        <v>213</v>
      </c>
      <c r="M101" s="85">
        <f t="shared" si="6"/>
        <v>0</v>
      </c>
      <c r="N101" s="39">
        <v>100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7.25" thickTop="1" thickBot="1">
      <c r="B102">
        <f>wyniki!B124</f>
        <v>0</v>
      </c>
      <c r="C102">
        <f>wyniki!N124</f>
        <v>0</v>
      </c>
      <c r="D102">
        <v>1.01E-3</v>
      </c>
      <c r="E102" s="17">
        <f t="shared" si="4"/>
        <v>1.01E-3</v>
      </c>
      <c r="F102">
        <f>wyniki!$A$119</f>
        <v>0</v>
      </c>
      <c r="G102">
        <f>wyniki!G124</f>
        <v>0</v>
      </c>
      <c r="J102" s="93">
        <f t="shared" si="5"/>
        <v>0</v>
      </c>
      <c r="K102" s="77">
        <f>LARGE($E$2:$E$241,101)</f>
        <v>2.1199999999999999E-3</v>
      </c>
      <c r="L102" s="67">
        <f t="shared" si="7"/>
        <v>212</v>
      </c>
      <c r="M102" s="85">
        <f t="shared" si="6"/>
        <v>0</v>
      </c>
      <c r="N102" s="39">
        <v>101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7.25" thickTop="1" thickBot="1">
      <c r="B103">
        <f>wyniki!B125</f>
        <v>0</v>
      </c>
      <c r="C103">
        <f>wyniki!N125</f>
        <v>0</v>
      </c>
      <c r="D103">
        <v>1.0200000000000001E-3</v>
      </c>
      <c r="E103" s="17">
        <f t="shared" si="4"/>
        <v>1.0200000000000001E-3</v>
      </c>
      <c r="F103">
        <f>wyniki!$A$119</f>
        <v>0</v>
      </c>
      <c r="G103">
        <f>wyniki!G125</f>
        <v>0</v>
      </c>
      <c r="J103" s="93">
        <f t="shared" si="5"/>
        <v>0</v>
      </c>
      <c r="K103" s="77">
        <f>LARGE($E$2:$E$241,102)</f>
        <v>2.1099999999999999E-3</v>
      </c>
      <c r="L103" s="67">
        <f t="shared" si="7"/>
        <v>211</v>
      </c>
      <c r="M103" s="85">
        <f t="shared" si="6"/>
        <v>0</v>
      </c>
      <c r="N103" s="39">
        <v>102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7.25" thickTop="1" thickBot="1">
      <c r="B104">
        <f>wyniki!B127</f>
        <v>0</v>
      </c>
      <c r="C104">
        <f>wyniki!N127</f>
        <v>0</v>
      </c>
      <c r="D104">
        <v>1.0300000000000001E-3</v>
      </c>
      <c r="E104" s="17">
        <f t="shared" si="4"/>
        <v>1.0300000000000001E-3</v>
      </c>
      <c r="F104">
        <f>wyniki!$A$126</f>
        <v>0</v>
      </c>
      <c r="G104">
        <f>wyniki!G127</f>
        <v>0</v>
      </c>
      <c r="J104" s="93">
        <f t="shared" si="5"/>
        <v>0</v>
      </c>
      <c r="K104" s="77">
        <f>LARGE($E$2:$E$241,103)</f>
        <v>2.0999999999999999E-3</v>
      </c>
      <c r="L104" s="67">
        <f t="shared" si="7"/>
        <v>210</v>
      </c>
      <c r="M104" s="85">
        <f t="shared" si="6"/>
        <v>0</v>
      </c>
      <c r="N104" s="39">
        <v>103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7.25" thickTop="1" thickBot="1">
      <c r="B105">
        <f>wyniki!B128</f>
        <v>0</v>
      </c>
      <c r="C105">
        <f>wyniki!N128</f>
        <v>0</v>
      </c>
      <c r="D105">
        <v>1.0399999999999999E-3</v>
      </c>
      <c r="E105" s="17">
        <f t="shared" si="4"/>
        <v>1.0399999999999999E-3</v>
      </c>
      <c r="F105">
        <f>wyniki!$A$126</f>
        <v>0</v>
      </c>
      <c r="G105">
        <f>wyniki!G128</f>
        <v>0</v>
      </c>
      <c r="J105" s="93">
        <f t="shared" si="5"/>
        <v>0</v>
      </c>
      <c r="K105" s="77">
        <f>LARGE($E$2:$E$241,104)</f>
        <v>2.0899999999999998E-3</v>
      </c>
      <c r="L105" s="67">
        <f t="shared" si="7"/>
        <v>209</v>
      </c>
      <c r="M105" s="85">
        <f t="shared" si="6"/>
        <v>0</v>
      </c>
      <c r="N105" s="39">
        <v>104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7.25" thickTop="1" thickBot="1">
      <c r="B106">
        <f>wyniki!B129</f>
        <v>0</v>
      </c>
      <c r="C106">
        <f>wyniki!N129</f>
        <v>0</v>
      </c>
      <c r="D106">
        <v>1.0499999999999999E-3</v>
      </c>
      <c r="E106" s="17">
        <f t="shared" si="4"/>
        <v>1.0499999999999999E-3</v>
      </c>
      <c r="F106">
        <f>wyniki!$A$126</f>
        <v>0</v>
      </c>
      <c r="G106">
        <f>wyniki!G129</f>
        <v>0</v>
      </c>
      <c r="J106" s="93">
        <f t="shared" si="5"/>
        <v>0</v>
      </c>
      <c r="K106" s="77">
        <f>LARGE($E$2:$E$241,105)</f>
        <v>2.0799999999999998E-3</v>
      </c>
      <c r="L106" s="67">
        <f t="shared" si="7"/>
        <v>208</v>
      </c>
      <c r="M106" s="85">
        <f t="shared" si="6"/>
        <v>0</v>
      </c>
      <c r="N106" s="39">
        <v>105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7.25" thickTop="1" thickBot="1">
      <c r="B107">
        <f>wyniki!B130</f>
        <v>0</v>
      </c>
      <c r="C107">
        <f>wyniki!N130</f>
        <v>0</v>
      </c>
      <c r="D107">
        <v>1.06E-3</v>
      </c>
      <c r="E107" s="17">
        <f t="shared" si="4"/>
        <v>1.06E-3</v>
      </c>
      <c r="F107">
        <f>wyniki!$A$126</f>
        <v>0</v>
      </c>
      <c r="G107">
        <f>wyniki!G130</f>
        <v>0</v>
      </c>
      <c r="J107" s="93">
        <f t="shared" si="5"/>
        <v>0</v>
      </c>
      <c r="K107" s="77">
        <f>LARGE($E$2:$E$241,106)</f>
        <v>2.0699999999999998E-3</v>
      </c>
      <c r="L107" s="67">
        <f t="shared" si="7"/>
        <v>207</v>
      </c>
      <c r="M107" s="85">
        <f t="shared" si="6"/>
        <v>0</v>
      </c>
      <c r="N107" s="39">
        <v>106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7.25" thickTop="1" thickBot="1">
      <c r="B108">
        <f>wyniki!B131</f>
        <v>0</v>
      </c>
      <c r="C108">
        <f>wyniki!N131</f>
        <v>0</v>
      </c>
      <c r="D108">
        <v>1.07E-3</v>
      </c>
      <c r="E108" s="17">
        <f t="shared" si="4"/>
        <v>1.07E-3</v>
      </c>
      <c r="F108">
        <f>wyniki!$A$126</f>
        <v>0</v>
      </c>
      <c r="G108">
        <f>wyniki!G131</f>
        <v>0</v>
      </c>
      <c r="J108" s="93">
        <f t="shared" si="5"/>
        <v>0</v>
      </c>
      <c r="K108" s="77">
        <f>LARGE($E$2:$E$241,107)</f>
        <v>2.0600000000000002E-3</v>
      </c>
      <c r="L108" s="67">
        <f t="shared" si="7"/>
        <v>206</v>
      </c>
      <c r="M108" s="85">
        <f t="shared" si="6"/>
        <v>0</v>
      </c>
      <c r="N108" s="39">
        <v>107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7.25" thickTop="1" thickBot="1">
      <c r="B109">
        <f>wyniki!B132</f>
        <v>0</v>
      </c>
      <c r="C109">
        <f>wyniki!N132</f>
        <v>0</v>
      </c>
      <c r="D109">
        <v>1.08E-3</v>
      </c>
      <c r="E109" s="17">
        <f t="shared" si="4"/>
        <v>1.08E-3</v>
      </c>
      <c r="F109">
        <f>wyniki!$A$126</f>
        <v>0</v>
      </c>
      <c r="G109">
        <f>wyniki!G132</f>
        <v>0</v>
      </c>
      <c r="J109" s="93">
        <f t="shared" si="5"/>
        <v>0</v>
      </c>
      <c r="K109" s="77">
        <f>LARGE($E$2:$E$241,108)</f>
        <v>2.0500000000000002E-3</v>
      </c>
      <c r="L109" s="67">
        <f t="shared" si="7"/>
        <v>205</v>
      </c>
      <c r="M109" s="85">
        <f t="shared" si="6"/>
        <v>0</v>
      </c>
      <c r="N109" s="39">
        <v>108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7.25" thickTop="1" thickBot="1">
      <c r="B110">
        <f>wyniki!B134</f>
        <v>0</v>
      </c>
      <c r="C110">
        <f>wyniki!N134</f>
        <v>0</v>
      </c>
      <c r="D110">
        <v>1.09E-3</v>
      </c>
      <c r="E110" s="17">
        <f t="shared" si="4"/>
        <v>1.09E-3</v>
      </c>
      <c r="F110">
        <f>wyniki!$A$133</f>
        <v>0</v>
      </c>
      <c r="G110">
        <f>wyniki!G134</f>
        <v>0</v>
      </c>
      <c r="J110" s="93">
        <f t="shared" si="5"/>
        <v>0</v>
      </c>
      <c r="K110" s="77">
        <f>LARGE($E$2:$E$241,109)</f>
        <v>2.0400000000000001E-3</v>
      </c>
      <c r="L110" s="67">
        <f t="shared" si="7"/>
        <v>204</v>
      </c>
      <c r="M110" s="85">
        <f t="shared" si="6"/>
        <v>0</v>
      </c>
      <c r="N110" s="39">
        <v>109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7.25" thickTop="1" thickBot="1">
      <c r="B111">
        <f>wyniki!B135</f>
        <v>0</v>
      </c>
      <c r="C111">
        <f>wyniki!N135</f>
        <v>0</v>
      </c>
      <c r="D111">
        <v>1.1000000000000001E-3</v>
      </c>
      <c r="E111" s="17">
        <f t="shared" si="4"/>
        <v>1.1000000000000001E-3</v>
      </c>
      <c r="F111">
        <f>wyniki!$A$133</f>
        <v>0</v>
      </c>
      <c r="G111">
        <f>wyniki!G135</f>
        <v>0</v>
      </c>
      <c r="J111" s="93">
        <f t="shared" si="5"/>
        <v>0</v>
      </c>
      <c r="K111" s="77">
        <f>LARGE($E$2:$E$241,110)</f>
        <v>2.0300000000000001E-3</v>
      </c>
      <c r="L111" s="67">
        <f t="shared" si="7"/>
        <v>203</v>
      </c>
      <c r="M111" s="85">
        <f t="shared" si="6"/>
        <v>0</v>
      </c>
      <c r="N111" s="39">
        <v>110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7.25" thickTop="1" thickBot="1">
      <c r="B112">
        <f>wyniki!B136</f>
        <v>0</v>
      </c>
      <c r="C112">
        <f>wyniki!N136</f>
        <v>0</v>
      </c>
      <c r="D112">
        <v>1.1100000000000001E-3</v>
      </c>
      <c r="E112" s="17">
        <f t="shared" si="4"/>
        <v>1.1100000000000001E-3</v>
      </c>
      <c r="F112">
        <f>wyniki!$A$133</f>
        <v>0</v>
      </c>
      <c r="G112">
        <f>wyniki!G136</f>
        <v>0</v>
      </c>
      <c r="J112" s="93">
        <f t="shared" si="5"/>
        <v>0</v>
      </c>
      <c r="K112" s="77">
        <f>LARGE($E$2:$E$241,111)</f>
        <v>2.0200000000000001E-3</v>
      </c>
      <c r="L112" s="67">
        <f t="shared" si="7"/>
        <v>202</v>
      </c>
      <c r="M112" s="85">
        <f t="shared" si="6"/>
        <v>0</v>
      </c>
      <c r="N112" s="39">
        <v>111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7.25" thickTop="1" thickBot="1">
      <c r="B113">
        <f>wyniki!B137</f>
        <v>0</v>
      </c>
      <c r="C113">
        <f>wyniki!N137</f>
        <v>0</v>
      </c>
      <c r="D113">
        <v>1.1199999999999999E-3</v>
      </c>
      <c r="E113" s="17">
        <f t="shared" si="4"/>
        <v>1.1199999999999999E-3</v>
      </c>
      <c r="F113">
        <f>wyniki!$A$133</f>
        <v>0</v>
      </c>
      <c r="G113">
        <f>wyniki!G137</f>
        <v>0</v>
      </c>
      <c r="J113" s="93">
        <f t="shared" si="5"/>
        <v>0</v>
      </c>
      <c r="K113" s="77">
        <f>LARGE($E$2:$E$241,112)</f>
        <v>2.0100000000000001E-3</v>
      </c>
      <c r="L113" s="67">
        <f t="shared" si="7"/>
        <v>201</v>
      </c>
      <c r="M113" s="85">
        <f t="shared" si="6"/>
        <v>0</v>
      </c>
      <c r="N113" s="39">
        <v>112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7.25" thickTop="1" thickBot="1">
      <c r="B114">
        <f>wyniki!B138</f>
        <v>0</v>
      </c>
      <c r="C114">
        <f>wyniki!N138</f>
        <v>0</v>
      </c>
      <c r="D114">
        <v>1.1299999999999999E-3</v>
      </c>
      <c r="E114" s="17">
        <f t="shared" si="4"/>
        <v>1.1299999999999999E-3</v>
      </c>
      <c r="F114">
        <f>wyniki!$A$133</f>
        <v>0</v>
      </c>
      <c r="G114">
        <f>wyniki!G138</f>
        <v>0</v>
      </c>
      <c r="J114" s="93">
        <f t="shared" si="5"/>
        <v>0</v>
      </c>
      <c r="K114" s="77">
        <f>LARGE($E$2:$E$241,113)</f>
        <v>2E-3</v>
      </c>
      <c r="L114" s="67">
        <f t="shared" si="7"/>
        <v>200</v>
      </c>
      <c r="M114" s="85">
        <f t="shared" si="6"/>
        <v>0</v>
      </c>
      <c r="N114" s="39">
        <v>113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7.25" thickTop="1" thickBot="1">
      <c r="B115">
        <f>wyniki!B139</f>
        <v>0</v>
      </c>
      <c r="C115">
        <f>wyniki!N139</f>
        <v>0</v>
      </c>
      <c r="D115">
        <v>1.14E-3</v>
      </c>
      <c r="E115" s="17">
        <f t="shared" si="4"/>
        <v>1.14E-3</v>
      </c>
      <c r="F115">
        <f>wyniki!$A$133</f>
        <v>0</v>
      </c>
      <c r="G115">
        <f>wyniki!G139</f>
        <v>0</v>
      </c>
      <c r="J115" s="93">
        <f t="shared" si="5"/>
        <v>0</v>
      </c>
      <c r="K115" s="77">
        <f>LARGE($E$2:$E$241,114)</f>
        <v>1.99E-3</v>
      </c>
      <c r="L115" s="67">
        <f t="shared" si="7"/>
        <v>199</v>
      </c>
      <c r="M115" s="85">
        <f t="shared" si="6"/>
        <v>0</v>
      </c>
      <c r="N115" s="39">
        <v>114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7.25" thickTop="1" thickBot="1">
      <c r="B116">
        <f>wyniki!B141</f>
        <v>0</v>
      </c>
      <c r="C116">
        <f>wyniki!N141</f>
        <v>0</v>
      </c>
      <c r="D116">
        <v>1.15E-3</v>
      </c>
      <c r="E116" s="17">
        <f t="shared" si="4"/>
        <v>1.15E-3</v>
      </c>
      <c r="F116">
        <f>wyniki!$A$140</f>
        <v>0</v>
      </c>
      <c r="G116">
        <f>wyniki!G141</f>
        <v>0</v>
      </c>
      <c r="J116" s="93">
        <f t="shared" si="5"/>
        <v>0</v>
      </c>
      <c r="K116" s="77">
        <f>LARGE($E$2:$E$241,115)</f>
        <v>1.98E-3</v>
      </c>
      <c r="L116" s="67">
        <f t="shared" si="7"/>
        <v>198</v>
      </c>
      <c r="M116" s="85">
        <f t="shared" si="6"/>
        <v>0</v>
      </c>
      <c r="N116" s="39">
        <v>115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7.25" thickTop="1" thickBot="1">
      <c r="B117">
        <f>wyniki!B142</f>
        <v>0</v>
      </c>
      <c r="C117">
        <f>wyniki!N142</f>
        <v>0</v>
      </c>
      <c r="D117">
        <v>1.16E-3</v>
      </c>
      <c r="E117" s="17">
        <f t="shared" si="4"/>
        <v>1.16E-3</v>
      </c>
      <c r="F117">
        <f>wyniki!$A$140</f>
        <v>0</v>
      </c>
      <c r="G117">
        <f>wyniki!G142</f>
        <v>0</v>
      </c>
      <c r="J117" s="93">
        <f t="shared" si="5"/>
        <v>0</v>
      </c>
      <c r="K117" s="77">
        <f>LARGE($E$2:$E$241,116)</f>
        <v>1.97E-3</v>
      </c>
      <c r="L117" s="67">
        <f t="shared" si="7"/>
        <v>197</v>
      </c>
      <c r="M117" s="85">
        <f t="shared" si="6"/>
        <v>0</v>
      </c>
      <c r="N117" s="39">
        <v>116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7.25" thickTop="1" thickBot="1">
      <c r="B118">
        <f>wyniki!B143</f>
        <v>0</v>
      </c>
      <c r="C118">
        <f>wyniki!N143</f>
        <v>0</v>
      </c>
      <c r="D118">
        <v>1.17E-3</v>
      </c>
      <c r="E118" s="17">
        <f t="shared" si="4"/>
        <v>1.17E-3</v>
      </c>
      <c r="F118">
        <f>wyniki!$A$140</f>
        <v>0</v>
      </c>
      <c r="G118">
        <f>wyniki!G143</f>
        <v>0</v>
      </c>
      <c r="J118" s="93">
        <f t="shared" si="5"/>
        <v>0</v>
      </c>
      <c r="K118" s="77">
        <f>LARGE($E$2:$E$241,117)</f>
        <v>1.9599999999999999E-3</v>
      </c>
      <c r="L118" s="67">
        <f t="shared" si="7"/>
        <v>196</v>
      </c>
      <c r="M118" s="85">
        <f t="shared" si="6"/>
        <v>0</v>
      </c>
      <c r="N118" s="39">
        <v>117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7.25" thickTop="1" thickBot="1">
      <c r="B119">
        <f>wyniki!B144</f>
        <v>0</v>
      </c>
      <c r="C119">
        <f>wyniki!N144</f>
        <v>0</v>
      </c>
      <c r="D119">
        <v>1.1800000000000001E-3</v>
      </c>
      <c r="E119" s="17">
        <f t="shared" si="4"/>
        <v>1.1800000000000001E-3</v>
      </c>
      <c r="F119">
        <f>wyniki!$A$140</f>
        <v>0</v>
      </c>
      <c r="G119">
        <f>wyniki!G144</f>
        <v>0</v>
      </c>
      <c r="J119" s="93">
        <f t="shared" si="5"/>
        <v>0</v>
      </c>
      <c r="K119" s="77">
        <f>LARGE($E$2:$E$241,118)</f>
        <v>1.9499999999999999E-3</v>
      </c>
      <c r="L119" s="67">
        <f t="shared" si="7"/>
        <v>195</v>
      </c>
      <c r="M119" s="85">
        <f t="shared" si="6"/>
        <v>0</v>
      </c>
      <c r="N119" s="39">
        <v>118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7.25" thickTop="1" thickBot="1">
      <c r="B120">
        <f>wyniki!B145</f>
        <v>0</v>
      </c>
      <c r="C120">
        <f>wyniki!N145</f>
        <v>0</v>
      </c>
      <c r="D120">
        <v>1.1900000000000001E-3</v>
      </c>
      <c r="E120" s="17">
        <f t="shared" si="4"/>
        <v>1.1900000000000001E-3</v>
      </c>
      <c r="F120">
        <f>wyniki!$A$140</f>
        <v>0</v>
      </c>
      <c r="G120">
        <f>wyniki!G145</f>
        <v>0</v>
      </c>
      <c r="J120" s="93">
        <f t="shared" si="5"/>
        <v>0</v>
      </c>
      <c r="K120" s="77">
        <f>LARGE($E$2:$E$241,119)</f>
        <v>1.9400000000000001E-3</v>
      </c>
      <c r="L120" s="67">
        <f t="shared" si="7"/>
        <v>194</v>
      </c>
      <c r="M120" s="85">
        <f t="shared" si="6"/>
        <v>0</v>
      </c>
      <c r="N120" s="39">
        <v>119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7.25" thickTop="1" thickBot="1">
      <c r="B121">
        <f>wyniki!B146</f>
        <v>0</v>
      </c>
      <c r="C121">
        <f>wyniki!N146</f>
        <v>0</v>
      </c>
      <c r="D121">
        <v>1.1999999999999999E-3</v>
      </c>
      <c r="E121" s="17">
        <f t="shared" si="4"/>
        <v>1.1999999999999999E-3</v>
      </c>
      <c r="F121">
        <f>wyniki!$A$140</f>
        <v>0</v>
      </c>
      <c r="G121">
        <f>wyniki!G146</f>
        <v>0</v>
      </c>
      <c r="J121" s="93">
        <f t="shared" si="5"/>
        <v>0</v>
      </c>
      <c r="K121" s="77">
        <f>LARGE($E$2:$E$241,120)</f>
        <v>1.9300000000000001E-3</v>
      </c>
      <c r="L121" s="67">
        <f t="shared" si="7"/>
        <v>193</v>
      </c>
      <c r="M121" s="85">
        <f t="shared" si="6"/>
        <v>0</v>
      </c>
      <c r="N121" s="39">
        <v>120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7.25" thickTop="1" thickBot="1">
      <c r="B122">
        <f>wyniki!B148</f>
        <v>0</v>
      </c>
      <c r="C122">
        <f>wyniki!N148</f>
        <v>0</v>
      </c>
      <c r="D122">
        <v>1.2099999999999999E-3</v>
      </c>
      <c r="E122" s="17">
        <f t="shared" si="4"/>
        <v>1.2099999999999999E-3</v>
      </c>
      <c r="F122">
        <f>wyniki!$A$147</f>
        <v>0</v>
      </c>
      <c r="G122">
        <f>wyniki!G148</f>
        <v>0</v>
      </c>
      <c r="J122" s="93">
        <f t="shared" si="5"/>
        <v>0</v>
      </c>
      <c r="K122" s="77">
        <f>LARGE($E$2:$E$241,121)</f>
        <v>1.92E-3</v>
      </c>
      <c r="L122" s="67">
        <f t="shared" si="7"/>
        <v>192</v>
      </c>
      <c r="M122" s="85">
        <f t="shared" si="6"/>
        <v>0</v>
      </c>
      <c r="N122" s="39">
        <v>121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7.25" thickTop="1" thickBot="1">
      <c r="B123">
        <f>wyniki!B149</f>
        <v>0</v>
      </c>
      <c r="C123">
        <f>wyniki!N149</f>
        <v>0</v>
      </c>
      <c r="D123">
        <v>1.2199999999999999E-3</v>
      </c>
      <c r="E123" s="17">
        <f t="shared" si="4"/>
        <v>1.2199999999999999E-3</v>
      </c>
      <c r="F123">
        <f>wyniki!$A$147</f>
        <v>0</v>
      </c>
      <c r="G123">
        <f>wyniki!G149</f>
        <v>0</v>
      </c>
      <c r="J123" s="93">
        <f t="shared" si="5"/>
        <v>0</v>
      </c>
      <c r="K123" s="77">
        <f>LARGE($E$2:$E$241,122)</f>
        <v>1.91E-3</v>
      </c>
      <c r="L123" s="67">
        <f t="shared" si="7"/>
        <v>191</v>
      </c>
      <c r="M123" s="85">
        <f t="shared" si="6"/>
        <v>0</v>
      </c>
      <c r="N123" s="39">
        <v>122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7.25" thickTop="1" thickBot="1">
      <c r="B124">
        <f>wyniki!B150</f>
        <v>0</v>
      </c>
      <c r="C124">
        <f>wyniki!N150</f>
        <v>0</v>
      </c>
      <c r="D124">
        <v>1.23E-3</v>
      </c>
      <c r="E124" s="17">
        <f t="shared" si="4"/>
        <v>1.23E-3</v>
      </c>
      <c r="F124">
        <f>wyniki!$A$147</f>
        <v>0</v>
      </c>
      <c r="G124">
        <f>wyniki!G150</f>
        <v>0</v>
      </c>
      <c r="J124" s="93">
        <f t="shared" si="5"/>
        <v>0</v>
      </c>
      <c r="K124" s="77">
        <f>LARGE($E$2:$E$241,123)</f>
        <v>1.9E-3</v>
      </c>
      <c r="L124" s="67">
        <f t="shared" si="7"/>
        <v>190</v>
      </c>
      <c r="M124" s="85">
        <f t="shared" si="6"/>
        <v>0</v>
      </c>
      <c r="N124" s="39">
        <v>123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7.25" thickTop="1" thickBot="1">
      <c r="B125">
        <f>wyniki!B151</f>
        <v>0</v>
      </c>
      <c r="C125">
        <f>wyniki!N151</f>
        <v>0</v>
      </c>
      <c r="D125">
        <v>1.24E-3</v>
      </c>
      <c r="E125" s="17">
        <f t="shared" si="4"/>
        <v>1.24E-3</v>
      </c>
      <c r="F125">
        <f>wyniki!$A$147</f>
        <v>0</v>
      </c>
      <c r="G125">
        <f>wyniki!G151</f>
        <v>0</v>
      </c>
      <c r="J125" s="93">
        <f t="shared" si="5"/>
        <v>0</v>
      </c>
      <c r="K125" s="77">
        <f>LARGE($E$2:$E$241,124)</f>
        <v>1.89E-3</v>
      </c>
      <c r="L125" s="67">
        <f t="shared" si="7"/>
        <v>189</v>
      </c>
      <c r="M125" s="85">
        <f t="shared" si="6"/>
        <v>0</v>
      </c>
      <c r="N125" s="39">
        <v>124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7.25" thickTop="1" thickBot="1">
      <c r="B126">
        <f>wyniki!B152</f>
        <v>0</v>
      </c>
      <c r="C126">
        <f>wyniki!N152</f>
        <v>0</v>
      </c>
      <c r="D126">
        <v>1.25E-3</v>
      </c>
      <c r="E126" s="17">
        <f t="shared" si="4"/>
        <v>1.25E-3</v>
      </c>
      <c r="F126">
        <f>wyniki!$A$147</f>
        <v>0</v>
      </c>
      <c r="G126">
        <f>wyniki!G152</f>
        <v>0</v>
      </c>
      <c r="J126" s="93">
        <f t="shared" si="5"/>
        <v>0</v>
      </c>
      <c r="K126" s="77">
        <f>LARGE($E$2:$E$241,125)</f>
        <v>1.8799999999999999E-3</v>
      </c>
      <c r="L126" s="67">
        <f t="shared" si="7"/>
        <v>188</v>
      </c>
      <c r="M126" s="85">
        <f t="shared" si="6"/>
        <v>0</v>
      </c>
      <c r="N126" s="39">
        <v>125</v>
      </c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7.25" thickTop="1" thickBot="1">
      <c r="B127">
        <f>wyniki!B153</f>
        <v>0</v>
      </c>
      <c r="C127">
        <f>wyniki!N153</f>
        <v>0</v>
      </c>
      <c r="D127">
        <v>1.2600000000000001E-3</v>
      </c>
      <c r="E127" s="17">
        <f t="shared" si="4"/>
        <v>1.2600000000000001E-3</v>
      </c>
      <c r="F127">
        <f>wyniki!$A$147</f>
        <v>0</v>
      </c>
      <c r="G127">
        <f>wyniki!G153</f>
        <v>0</v>
      </c>
      <c r="J127" s="93">
        <f t="shared" si="5"/>
        <v>0</v>
      </c>
      <c r="K127" s="77">
        <f>LARGE($E$2:$E$241,126)</f>
        <v>1.8699999999999999E-3</v>
      </c>
      <c r="L127" s="67">
        <f t="shared" si="7"/>
        <v>187</v>
      </c>
      <c r="M127" s="85">
        <f t="shared" si="6"/>
        <v>0</v>
      </c>
      <c r="N127" s="39">
        <v>126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7.25" thickTop="1" thickBot="1">
      <c r="B128">
        <f>wyniki!B155</f>
        <v>0</v>
      </c>
      <c r="C128">
        <f>wyniki!N155</f>
        <v>0</v>
      </c>
      <c r="D128">
        <v>1.2700000000000001E-3</v>
      </c>
      <c r="E128" s="17">
        <f t="shared" si="4"/>
        <v>1.2700000000000001E-3</v>
      </c>
      <c r="F128">
        <f>wyniki!$A$154</f>
        <v>0</v>
      </c>
      <c r="G128">
        <f>wyniki!G155</f>
        <v>0</v>
      </c>
      <c r="J128" s="93">
        <f t="shared" si="5"/>
        <v>0</v>
      </c>
      <c r="K128" s="77">
        <f>LARGE($E$2:$E$241,127)</f>
        <v>1.8600000000000001E-3</v>
      </c>
      <c r="L128" s="67">
        <f t="shared" si="7"/>
        <v>186</v>
      </c>
      <c r="M128" s="85">
        <f t="shared" si="6"/>
        <v>0</v>
      </c>
      <c r="N128" s="39">
        <v>127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7.25" thickTop="1" thickBot="1">
      <c r="B129">
        <f>wyniki!B156</f>
        <v>0</v>
      </c>
      <c r="C129">
        <f>wyniki!N156</f>
        <v>0</v>
      </c>
      <c r="D129">
        <v>1.2800000000000001E-3</v>
      </c>
      <c r="E129" s="17">
        <f t="shared" si="4"/>
        <v>1.2800000000000001E-3</v>
      </c>
      <c r="F129">
        <f>wyniki!$A$154</f>
        <v>0</v>
      </c>
      <c r="G129">
        <f>wyniki!G156</f>
        <v>0</v>
      </c>
      <c r="J129" s="93">
        <f t="shared" si="5"/>
        <v>0</v>
      </c>
      <c r="K129" s="77">
        <f>LARGE($E$2:$E$241,128)</f>
        <v>1.8500000000000001E-3</v>
      </c>
      <c r="L129" s="67">
        <f t="shared" si="7"/>
        <v>185</v>
      </c>
      <c r="M129" s="85">
        <f t="shared" si="6"/>
        <v>0</v>
      </c>
      <c r="N129" s="39">
        <v>128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7.25" thickTop="1" thickBot="1">
      <c r="B130">
        <f>wyniki!B157</f>
        <v>0</v>
      </c>
      <c r="C130">
        <f>wyniki!N157</f>
        <v>0</v>
      </c>
      <c r="D130">
        <v>1.2899999999999999E-3</v>
      </c>
      <c r="E130" s="17">
        <f t="shared" si="4"/>
        <v>1.2899999999999999E-3</v>
      </c>
      <c r="F130">
        <f>wyniki!$A$154</f>
        <v>0</v>
      </c>
      <c r="G130">
        <f>wyniki!G157</f>
        <v>0</v>
      </c>
      <c r="J130" s="93">
        <f t="shared" si="5"/>
        <v>0</v>
      </c>
      <c r="K130" s="77">
        <f>LARGE($E$2:$E$241,129)</f>
        <v>1.8400000000000001E-3</v>
      </c>
      <c r="L130" s="67">
        <f t="shared" si="7"/>
        <v>184</v>
      </c>
      <c r="M130" s="85">
        <f t="shared" si="6"/>
        <v>0</v>
      </c>
      <c r="N130" s="39">
        <v>129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7.25" thickTop="1" thickBot="1">
      <c r="B131">
        <f>wyniki!B158</f>
        <v>0</v>
      </c>
      <c r="C131">
        <f>wyniki!N158</f>
        <v>0</v>
      </c>
      <c r="D131">
        <v>1.2999999999999999E-3</v>
      </c>
      <c r="E131" s="17">
        <f t="shared" ref="E131:E194" si="8">C131+D131</f>
        <v>1.2999999999999999E-3</v>
      </c>
      <c r="F131">
        <f>wyniki!$A$154</f>
        <v>0</v>
      </c>
      <c r="G131">
        <f>wyniki!G158</f>
        <v>0</v>
      </c>
      <c r="J131" s="93">
        <f t="shared" ref="J131:J194" si="9">INDEX($B$2:$E$2411,L131,1)</f>
        <v>0</v>
      </c>
      <c r="K131" s="77">
        <f>LARGE($E$2:$E$241,130)</f>
        <v>1.83E-3</v>
      </c>
      <c r="L131" s="67">
        <f t="shared" si="7"/>
        <v>183</v>
      </c>
      <c r="M131" s="85">
        <f t="shared" ref="M131:M194" si="10">INDEX($E$2:$F$241,L131,2)</f>
        <v>0</v>
      </c>
      <c r="N131" s="39">
        <v>130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7.25" thickTop="1" thickBot="1">
      <c r="B132">
        <f>wyniki!B159</f>
        <v>0</v>
      </c>
      <c r="C132">
        <f>wyniki!N159</f>
        <v>0</v>
      </c>
      <c r="D132">
        <v>1.31E-3</v>
      </c>
      <c r="E132" s="17">
        <f t="shared" si="8"/>
        <v>1.31E-3</v>
      </c>
      <c r="F132">
        <f>wyniki!$A$154</f>
        <v>0</v>
      </c>
      <c r="G132">
        <f>wyniki!G159</f>
        <v>0</v>
      </c>
      <c r="J132" s="93">
        <f t="shared" si="9"/>
        <v>0</v>
      </c>
      <c r="K132" s="77">
        <f>LARGE($E$2:$E$241,131)</f>
        <v>1.82E-3</v>
      </c>
      <c r="L132" s="67">
        <f t="shared" ref="L132:L195" si="11">MATCH(K132,$E$2:$E$241,0)</f>
        <v>182</v>
      </c>
      <c r="M132" s="85">
        <f t="shared" si="10"/>
        <v>0</v>
      </c>
      <c r="N132" s="39">
        <v>131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7.25" thickTop="1" thickBot="1">
      <c r="B133">
        <f>wyniki!B160</f>
        <v>0</v>
      </c>
      <c r="C133">
        <f>wyniki!N160</f>
        <v>0</v>
      </c>
      <c r="D133">
        <v>1.32E-3</v>
      </c>
      <c r="E133" s="17">
        <f t="shared" si="8"/>
        <v>1.32E-3</v>
      </c>
      <c r="F133">
        <f>wyniki!$A$154</f>
        <v>0</v>
      </c>
      <c r="G133">
        <f>wyniki!G160</f>
        <v>0</v>
      </c>
      <c r="J133" s="93">
        <f t="shared" si="9"/>
        <v>0</v>
      </c>
      <c r="K133" s="77">
        <f>LARGE($E$2:$E$241,132)</f>
        <v>1.81E-3</v>
      </c>
      <c r="L133" s="67">
        <f t="shared" si="11"/>
        <v>181</v>
      </c>
      <c r="M133" s="85">
        <f t="shared" si="10"/>
        <v>0</v>
      </c>
      <c r="N133" s="39">
        <v>132</v>
      </c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7.25" thickTop="1" thickBot="1">
      <c r="B134">
        <f>wyniki!B162</f>
        <v>0</v>
      </c>
      <c r="C134">
        <f>wyniki!N162</f>
        <v>0</v>
      </c>
      <c r="D134">
        <v>1.33E-3</v>
      </c>
      <c r="E134" s="17">
        <f t="shared" si="8"/>
        <v>1.33E-3</v>
      </c>
      <c r="F134">
        <f>wyniki!$A$161</f>
        <v>0</v>
      </c>
      <c r="G134">
        <f>wyniki!G162</f>
        <v>0</v>
      </c>
      <c r="J134" s="93">
        <f t="shared" si="9"/>
        <v>0</v>
      </c>
      <c r="K134" s="77">
        <f>LARGE($E$2:$E$241,133)</f>
        <v>1.8E-3</v>
      </c>
      <c r="L134" s="67">
        <f t="shared" si="11"/>
        <v>180</v>
      </c>
      <c r="M134" s="85">
        <f t="shared" si="10"/>
        <v>0</v>
      </c>
      <c r="N134" s="39">
        <v>133</v>
      </c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7.25" thickTop="1" thickBot="1">
      <c r="B135">
        <f>wyniki!B163</f>
        <v>0</v>
      </c>
      <c r="C135">
        <f>wyniki!N163</f>
        <v>0</v>
      </c>
      <c r="D135">
        <v>1.34E-3</v>
      </c>
      <c r="E135" s="17">
        <f t="shared" si="8"/>
        <v>1.34E-3</v>
      </c>
      <c r="F135">
        <f>wyniki!$A$161</f>
        <v>0</v>
      </c>
      <c r="G135">
        <f>wyniki!G163</f>
        <v>0</v>
      </c>
      <c r="J135" s="93">
        <f t="shared" si="9"/>
        <v>0</v>
      </c>
      <c r="K135" s="77">
        <f>LARGE($E$2:$E$241,134)</f>
        <v>1.7899999999999999E-3</v>
      </c>
      <c r="L135" s="67">
        <f t="shared" si="11"/>
        <v>179</v>
      </c>
      <c r="M135" s="85">
        <f t="shared" si="10"/>
        <v>0</v>
      </c>
      <c r="N135" s="39">
        <v>134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7.25" thickTop="1" thickBot="1">
      <c r="B136">
        <f>wyniki!B164</f>
        <v>0</v>
      </c>
      <c r="C136">
        <f>wyniki!N164</f>
        <v>0</v>
      </c>
      <c r="D136">
        <v>1.3500000000000001E-3</v>
      </c>
      <c r="E136" s="17">
        <f t="shared" si="8"/>
        <v>1.3500000000000001E-3</v>
      </c>
      <c r="F136">
        <f>wyniki!$A$161</f>
        <v>0</v>
      </c>
      <c r="G136">
        <f>wyniki!G164</f>
        <v>0</v>
      </c>
      <c r="J136" s="93">
        <f t="shared" si="9"/>
        <v>0</v>
      </c>
      <c r="K136" s="77">
        <f>LARGE($E$2:$E$241,135)</f>
        <v>1.7799999999999999E-3</v>
      </c>
      <c r="L136" s="67">
        <f t="shared" si="11"/>
        <v>178</v>
      </c>
      <c r="M136" s="85">
        <f t="shared" si="10"/>
        <v>0</v>
      </c>
      <c r="N136" s="39">
        <v>135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7.25" thickTop="1" thickBot="1">
      <c r="B137">
        <f>wyniki!B165</f>
        <v>0</v>
      </c>
      <c r="C137">
        <f>wyniki!N165</f>
        <v>0</v>
      </c>
      <c r="D137">
        <v>1.3600000000000001E-3</v>
      </c>
      <c r="E137" s="17">
        <f t="shared" si="8"/>
        <v>1.3600000000000001E-3</v>
      </c>
      <c r="F137">
        <f>wyniki!$A$161</f>
        <v>0</v>
      </c>
      <c r="G137">
        <f>wyniki!G165</f>
        <v>0</v>
      </c>
      <c r="J137" s="93">
        <f t="shared" si="9"/>
        <v>0</v>
      </c>
      <c r="K137" s="77">
        <f>LARGE($E$2:$E$241,136)</f>
        <v>1.7700000000000001E-3</v>
      </c>
      <c r="L137" s="67">
        <f t="shared" si="11"/>
        <v>177</v>
      </c>
      <c r="M137" s="85">
        <f t="shared" si="10"/>
        <v>0</v>
      </c>
      <c r="N137" s="39">
        <v>136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2:34" ht="17.25" thickTop="1" thickBot="1">
      <c r="B138">
        <f>wyniki!B166</f>
        <v>0</v>
      </c>
      <c r="C138">
        <f>wyniki!N166</f>
        <v>0</v>
      </c>
      <c r="D138">
        <v>1.3699999999999999E-3</v>
      </c>
      <c r="E138" s="17">
        <f t="shared" si="8"/>
        <v>1.3699999999999999E-3</v>
      </c>
      <c r="F138">
        <f>wyniki!$A$161</f>
        <v>0</v>
      </c>
      <c r="G138">
        <f>wyniki!G166</f>
        <v>0</v>
      </c>
      <c r="J138" s="93">
        <f t="shared" si="9"/>
        <v>0</v>
      </c>
      <c r="K138" s="77">
        <f>LARGE($E$2:$E$241,137)</f>
        <v>1.7600000000000001E-3</v>
      </c>
      <c r="L138" s="67">
        <f t="shared" si="11"/>
        <v>176</v>
      </c>
      <c r="M138" s="85">
        <f t="shared" si="10"/>
        <v>0</v>
      </c>
      <c r="N138" s="39">
        <v>137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7.25" thickTop="1" thickBot="1">
      <c r="B139">
        <f>wyniki!B167</f>
        <v>0</v>
      </c>
      <c r="C139">
        <f>wyniki!N167</f>
        <v>0</v>
      </c>
      <c r="D139">
        <v>1.3799999999999999E-3</v>
      </c>
      <c r="E139" s="17">
        <f t="shared" si="8"/>
        <v>1.3799999999999999E-3</v>
      </c>
      <c r="F139">
        <f>wyniki!$A$161</f>
        <v>0</v>
      </c>
      <c r="G139">
        <f>wyniki!G167</f>
        <v>0</v>
      </c>
      <c r="J139" s="93">
        <f t="shared" si="9"/>
        <v>0</v>
      </c>
      <c r="K139" s="77">
        <f>LARGE($E$2:$E$241,138)</f>
        <v>1.75E-3</v>
      </c>
      <c r="L139" s="67">
        <f t="shared" si="11"/>
        <v>175</v>
      </c>
      <c r="M139" s="85">
        <f t="shared" si="10"/>
        <v>0</v>
      </c>
      <c r="N139" s="39">
        <v>138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7.25" thickTop="1" thickBot="1">
      <c r="B140">
        <f>wyniki!B169</f>
        <v>0</v>
      </c>
      <c r="C140">
        <f>wyniki!N169</f>
        <v>0</v>
      </c>
      <c r="D140">
        <v>1.39E-3</v>
      </c>
      <c r="E140" s="17">
        <f t="shared" si="8"/>
        <v>1.39E-3</v>
      </c>
      <c r="F140">
        <f>wyniki!$A$168</f>
        <v>0</v>
      </c>
      <c r="G140">
        <f>wyniki!G169</f>
        <v>0</v>
      </c>
      <c r="J140" s="93">
        <f t="shared" si="9"/>
        <v>0</v>
      </c>
      <c r="K140" s="77">
        <f>LARGE($E$2:$E$241,139)</f>
        <v>1.74E-3</v>
      </c>
      <c r="L140" s="67">
        <f t="shared" si="11"/>
        <v>174</v>
      </c>
      <c r="M140" s="85">
        <f t="shared" si="10"/>
        <v>0</v>
      </c>
      <c r="N140" s="39">
        <v>139</v>
      </c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7.25" thickTop="1" thickBot="1">
      <c r="B141">
        <f>wyniki!B170</f>
        <v>0</v>
      </c>
      <c r="C141">
        <f>wyniki!N170</f>
        <v>0</v>
      </c>
      <c r="D141">
        <v>1.4E-3</v>
      </c>
      <c r="E141" s="17">
        <f t="shared" si="8"/>
        <v>1.4E-3</v>
      </c>
      <c r="F141">
        <f>wyniki!$A$168</f>
        <v>0</v>
      </c>
      <c r="G141">
        <f>wyniki!G170</f>
        <v>0</v>
      </c>
      <c r="J141" s="93">
        <f t="shared" si="9"/>
        <v>0</v>
      </c>
      <c r="K141" s="77">
        <f>LARGE($E$2:$E$241,140)</f>
        <v>1.73E-3</v>
      </c>
      <c r="L141" s="67">
        <f t="shared" si="11"/>
        <v>173</v>
      </c>
      <c r="M141" s="85">
        <f t="shared" si="10"/>
        <v>0</v>
      </c>
      <c r="N141" s="39">
        <v>140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7.25" thickTop="1" thickBot="1">
      <c r="B142">
        <f>wyniki!B171</f>
        <v>0</v>
      </c>
      <c r="C142">
        <f>wyniki!N171</f>
        <v>0</v>
      </c>
      <c r="D142">
        <v>1.41E-3</v>
      </c>
      <c r="E142" s="17">
        <f t="shared" si="8"/>
        <v>1.41E-3</v>
      </c>
      <c r="F142">
        <f>wyniki!$A$168</f>
        <v>0</v>
      </c>
      <c r="G142">
        <f>wyniki!G171</f>
        <v>0</v>
      </c>
      <c r="J142" s="93">
        <f t="shared" si="9"/>
        <v>0</v>
      </c>
      <c r="K142" s="77">
        <f>LARGE($E$2:$E$241,141)</f>
        <v>1.72E-3</v>
      </c>
      <c r="L142" s="67">
        <f t="shared" si="11"/>
        <v>172</v>
      </c>
      <c r="M142" s="85">
        <f t="shared" si="10"/>
        <v>0</v>
      </c>
      <c r="N142" s="39">
        <v>141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7.25" thickTop="1" thickBot="1">
      <c r="B143">
        <f>wyniki!B172</f>
        <v>0</v>
      </c>
      <c r="C143">
        <f>wyniki!N172</f>
        <v>0</v>
      </c>
      <c r="D143">
        <v>1.42E-3</v>
      </c>
      <c r="E143" s="17">
        <f t="shared" si="8"/>
        <v>1.42E-3</v>
      </c>
      <c r="F143">
        <f>wyniki!$A$168</f>
        <v>0</v>
      </c>
      <c r="G143">
        <f>wyniki!G172</f>
        <v>0</v>
      </c>
      <c r="J143" s="93">
        <f t="shared" si="9"/>
        <v>0</v>
      </c>
      <c r="K143" s="77">
        <f>LARGE($E$2:$E$241,142)</f>
        <v>1.7099999999999999E-3</v>
      </c>
      <c r="L143" s="67">
        <f t="shared" si="11"/>
        <v>171</v>
      </c>
      <c r="M143" s="85">
        <f t="shared" si="10"/>
        <v>0</v>
      </c>
      <c r="N143" s="39">
        <v>142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7.25" thickTop="1" thickBot="1">
      <c r="B144">
        <f>wyniki!B173</f>
        <v>0</v>
      </c>
      <c r="C144">
        <f>wyniki!N173</f>
        <v>0</v>
      </c>
      <c r="D144">
        <v>1.4300000000000001E-3</v>
      </c>
      <c r="E144" s="17">
        <f t="shared" si="8"/>
        <v>1.4300000000000001E-3</v>
      </c>
      <c r="F144">
        <f>wyniki!$A$168</f>
        <v>0</v>
      </c>
      <c r="G144">
        <f>wyniki!G173</f>
        <v>0</v>
      </c>
      <c r="J144" s="93">
        <f t="shared" si="9"/>
        <v>0</v>
      </c>
      <c r="K144" s="77">
        <f>LARGE($E$2:$E$241,143)</f>
        <v>1.6999999999999999E-3</v>
      </c>
      <c r="L144" s="67">
        <f t="shared" si="11"/>
        <v>170</v>
      </c>
      <c r="M144" s="85">
        <f t="shared" si="10"/>
        <v>0</v>
      </c>
      <c r="N144" s="39">
        <v>143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7.25" thickTop="1" thickBot="1">
      <c r="B145">
        <f>wyniki!B174</f>
        <v>0</v>
      </c>
      <c r="C145">
        <f>wyniki!N174</f>
        <v>0</v>
      </c>
      <c r="D145">
        <v>1.4400000000000001E-3</v>
      </c>
      <c r="E145" s="17">
        <f t="shared" si="8"/>
        <v>1.4400000000000001E-3</v>
      </c>
      <c r="F145">
        <f>wyniki!$A$168</f>
        <v>0</v>
      </c>
      <c r="G145">
        <f>wyniki!G174</f>
        <v>0</v>
      </c>
      <c r="J145" s="93">
        <f t="shared" si="9"/>
        <v>0</v>
      </c>
      <c r="K145" s="77">
        <f>LARGE($E$2:$E$241,144)</f>
        <v>1.6900000000000001E-3</v>
      </c>
      <c r="L145" s="67">
        <f t="shared" si="11"/>
        <v>169</v>
      </c>
      <c r="M145" s="85">
        <f t="shared" si="10"/>
        <v>0</v>
      </c>
      <c r="N145" s="39">
        <v>144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7.25" thickTop="1" thickBot="1">
      <c r="B146">
        <f>wyniki!B176</f>
        <v>0</v>
      </c>
      <c r="C146">
        <f>wyniki!N176</f>
        <v>0</v>
      </c>
      <c r="D146">
        <v>1.4499999999999999E-3</v>
      </c>
      <c r="E146" s="17">
        <f t="shared" si="8"/>
        <v>1.4499999999999999E-3</v>
      </c>
      <c r="F146">
        <f>wyniki!$A$175</f>
        <v>0</v>
      </c>
      <c r="G146">
        <f>wyniki!G176</f>
        <v>0</v>
      </c>
      <c r="J146" s="93">
        <f t="shared" si="9"/>
        <v>0</v>
      </c>
      <c r="K146" s="77">
        <f>LARGE($E$2:$E$241,145)</f>
        <v>1.6800000000000001E-3</v>
      </c>
      <c r="L146" s="67">
        <f t="shared" si="11"/>
        <v>168</v>
      </c>
      <c r="M146" s="85">
        <f t="shared" si="10"/>
        <v>0</v>
      </c>
      <c r="N146" s="39">
        <v>145</v>
      </c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7.25" thickTop="1" thickBot="1">
      <c r="B147">
        <f>wyniki!B177</f>
        <v>0</v>
      </c>
      <c r="C147">
        <f>wyniki!N177</f>
        <v>0</v>
      </c>
      <c r="D147">
        <v>1.4599999999999999E-3</v>
      </c>
      <c r="E147" s="17">
        <f t="shared" si="8"/>
        <v>1.4599999999999999E-3</v>
      </c>
      <c r="F147">
        <f>wyniki!$A$175</f>
        <v>0</v>
      </c>
      <c r="G147">
        <f>wyniki!G177</f>
        <v>0</v>
      </c>
      <c r="J147" s="93">
        <f t="shared" si="9"/>
        <v>0</v>
      </c>
      <c r="K147" s="77">
        <f>LARGE($E$2:$E$241,146)</f>
        <v>1.67E-3</v>
      </c>
      <c r="L147" s="67">
        <f t="shared" si="11"/>
        <v>167</v>
      </c>
      <c r="M147" s="85">
        <f t="shared" si="10"/>
        <v>0</v>
      </c>
      <c r="N147" s="39">
        <v>146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7.25" thickTop="1" thickBot="1">
      <c r="B148">
        <f>wyniki!B178</f>
        <v>0</v>
      </c>
      <c r="C148">
        <f>wyniki!N178</f>
        <v>0</v>
      </c>
      <c r="D148">
        <v>1.47E-3</v>
      </c>
      <c r="E148" s="17">
        <f t="shared" si="8"/>
        <v>1.47E-3</v>
      </c>
      <c r="F148">
        <f>wyniki!$A$175</f>
        <v>0</v>
      </c>
      <c r="G148">
        <f>wyniki!G178</f>
        <v>0</v>
      </c>
      <c r="J148" s="93">
        <f t="shared" si="9"/>
        <v>0</v>
      </c>
      <c r="K148" s="77">
        <f>LARGE($E$2:$E$241,147)</f>
        <v>1.66E-3</v>
      </c>
      <c r="L148" s="67">
        <f t="shared" si="11"/>
        <v>166</v>
      </c>
      <c r="M148" s="85">
        <f t="shared" si="10"/>
        <v>0</v>
      </c>
      <c r="N148" s="39">
        <v>147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7.25" thickTop="1" thickBot="1">
      <c r="B149">
        <f>wyniki!B179</f>
        <v>0</v>
      </c>
      <c r="C149">
        <f>wyniki!N179</f>
        <v>0</v>
      </c>
      <c r="D149">
        <v>1.48E-3</v>
      </c>
      <c r="E149" s="17">
        <f t="shared" si="8"/>
        <v>1.48E-3</v>
      </c>
      <c r="F149">
        <f>wyniki!$A$175</f>
        <v>0</v>
      </c>
      <c r="G149">
        <f>wyniki!G179</f>
        <v>0</v>
      </c>
      <c r="J149" s="93">
        <f t="shared" si="9"/>
        <v>0</v>
      </c>
      <c r="K149" s="77">
        <f>LARGE($E$2:$E$241,148)</f>
        <v>1.65E-3</v>
      </c>
      <c r="L149" s="67">
        <f t="shared" si="11"/>
        <v>165</v>
      </c>
      <c r="M149" s="85">
        <f t="shared" si="10"/>
        <v>0</v>
      </c>
      <c r="N149" s="39">
        <v>148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7.25" thickTop="1" thickBot="1">
      <c r="B150">
        <f>wyniki!B180</f>
        <v>0</v>
      </c>
      <c r="C150">
        <f>wyniki!N180</f>
        <v>0</v>
      </c>
      <c r="D150">
        <v>1.49E-3</v>
      </c>
      <c r="E150" s="17">
        <f t="shared" si="8"/>
        <v>1.49E-3</v>
      </c>
      <c r="F150">
        <f>wyniki!$A$175</f>
        <v>0</v>
      </c>
      <c r="G150">
        <f>wyniki!G180</f>
        <v>0</v>
      </c>
      <c r="J150" s="93">
        <f t="shared" si="9"/>
        <v>0</v>
      </c>
      <c r="K150" s="77">
        <f>LARGE($E$2:$E$241,149)</f>
        <v>1.64E-3</v>
      </c>
      <c r="L150" s="67">
        <f t="shared" si="11"/>
        <v>164</v>
      </c>
      <c r="M150" s="85">
        <f t="shared" si="10"/>
        <v>0</v>
      </c>
      <c r="N150" s="39">
        <v>149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7.25" thickTop="1" thickBot="1">
      <c r="B151">
        <f>wyniki!B181</f>
        <v>0</v>
      </c>
      <c r="C151">
        <f>wyniki!N181</f>
        <v>0</v>
      </c>
      <c r="D151">
        <v>1.5E-3</v>
      </c>
      <c r="E151" s="17">
        <f t="shared" si="8"/>
        <v>1.5E-3</v>
      </c>
      <c r="F151">
        <f>wyniki!$A$175</f>
        <v>0</v>
      </c>
      <c r="G151">
        <f>wyniki!G181</f>
        <v>0</v>
      </c>
      <c r="J151" s="93">
        <f t="shared" si="9"/>
        <v>0</v>
      </c>
      <c r="K151" s="77">
        <f>LARGE($E$2:$E$241,150)</f>
        <v>1.6299999999999999E-3</v>
      </c>
      <c r="L151" s="67">
        <f t="shared" si="11"/>
        <v>163</v>
      </c>
      <c r="M151" s="85">
        <f t="shared" si="10"/>
        <v>0</v>
      </c>
      <c r="N151" s="39">
        <v>150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7.25" thickTop="1" thickBot="1">
      <c r="B152">
        <f>wyniki!B183</f>
        <v>0</v>
      </c>
      <c r="C152">
        <f>wyniki!N183</f>
        <v>0</v>
      </c>
      <c r="D152">
        <v>1.5100000000000001E-3</v>
      </c>
      <c r="E152" s="17">
        <f t="shared" si="8"/>
        <v>1.5100000000000001E-3</v>
      </c>
      <c r="F152">
        <f>wyniki!$A$182</f>
        <v>0</v>
      </c>
      <c r="G152">
        <f>wyniki!G183</f>
        <v>0</v>
      </c>
      <c r="J152" s="93">
        <f t="shared" si="9"/>
        <v>0</v>
      </c>
      <c r="K152" s="77">
        <f>LARGE($E$2:$E$241,151)</f>
        <v>1.6199999999999999E-3</v>
      </c>
      <c r="L152" s="67">
        <f t="shared" si="11"/>
        <v>162</v>
      </c>
      <c r="M152" s="85">
        <f t="shared" si="10"/>
        <v>0</v>
      </c>
      <c r="N152" s="39">
        <v>151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7.25" thickTop="1" thickBot="1">
      <c r="B153">
        <f>wyniki!B184</f>
        <v>0</v>
      </c>
      <c r="C153">
        <f>wyniki!N184</f>
        <v>0</v>
      </c>
      <c r="D153">
        <v>1.5200000000000001E-3</v>
      </c>
      <c r="E153" s="17">
        <f t="shared" si="8"/>
        <v>1.5200000000000001E-3</v>
      </c>
      <c r="F153">
        <f>wyniki!$A$182</f>
        <v>0</v>
      </c>
      <c r="G153">
        <f>wyniki!G184</f>
        <v>0</v>
      </c>
      <c r="J153" s="93">
        <f t="shared" si="9"/>
        <v>0</v>
      </c>
      <c r="K153" s="77">
        <f>LARGE($E$2:$E$241,152)</f>
        <v>1.6100000000000001E-3</v>
      </c>
      <c r="L153" s="67">
        <f t="shared" si="11"/>
        <v>161</v>
      </c>
      <c r="M153" s="85">
        <f t="shared" si="10"/>
        <v>0</v>
      </c>
      <c r="N153" s="39">
        <v>152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7.25" thickTop="1" thickBot="1">
      <c r="B154">
        <f>wyniki!B185</f>
        <v>0</v>
      </c>
      <c r="C154">
        <f>wyniki!N185</f>
        <v>0</v>
      </c>
      <c r="D154">
        <v>1.5299999999999999E-3</v>
      </c>
      <c r="E154" s="17">
        <f t="shared" si="8"/>
        <v>1.5299999999999999E-3</v>
      </c>
      <c r="F154">
        <f>wyniki!$A$182</f>
        <v>0</v>
      </c>
      <c r="G154">
        <f>wyniki!G185</f>
        <v>0</v>
      </c>
      <c r="J154" s="93">
        <f t="shared" si="9"/>
        <v>0</v>
      </c>
      <c r="K154" s="77">
        <f>LARGE($E$2:$E$241,153)</f>
        <v>1.6000000000000001E-3</v>
      </c>
      <c r="L154" s="67">
        <f t="shared" si="11"/>
        <v>160</v>
      </c>
      <c r="M154" s="85">
        <f t="shared" si="10"/>
        <v>0</v>
      </c>
      <c r="N154" s="39">
        <v>153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7.25" thickTop="1" thickBot="1">
      <c r="B155">
        <f>wyniki!B186</f>
        <v>0</v>
      </c>
      <c r="C155">
        <f>wyniki!N186</f>
        <v>0</v>
      </c>
      <c r="D155">
        <v>1.5399999999999999E-3</v>
      </c>
      <c r="E155" s="17">
        <f t="shared" si="8"/>
        <v>1.5399999999999999E-3</v>
      </c>
      <c r="F155">
        <f>wyniki!$A$182</f>
        <v>0</v>
      </c>
      <c r="G155">
        <f>wyniki!G186</f>
        <v>0</v>
      </c>
      <c r="J155" s="93">
        <f t="shared" si="9"/>
        <v>0</v>
      </c>
      <c r="K155" s="77">
        <f>LARGE($E$2:$E$241,154)</f>
        <v>1.5900000000000001E-3</v>
      </c>
      <c r="L155" s="67">
        <f t="shared" si="11"/>
        <v>159</v>
      </c>
      <c r="M155" s="85">
        <f t="shared" si="10"/>
        <v>0</v>
      </c>
      <c r="N155" s="39">
        <v>154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7.25" thickTop="1" thickBot="1">
      <c r="B156">
        <f>wyniki!B187</f>
        <v>0</v>
      </c>
      <c r="C156">
        <f>wyniki!N187</f>
        <v>0</v>
      </c>
      <c r="D156">
        <v>1.5499999999999999E-3</v>
      </c>
      <c r="E156" s="17">
        <f t="shared" si="8"/>
        <v>1.5499999999999999E-3</v>
      </c>
      <c r="F156">
        <f>wyniki!$A$182</f>
        <v>0</v>
      </c>
      <c r="G156">
        <f>wyniki!G187</f>
        <v>0</v>
      </c>
      <c r="J156" s="93">
        <f t="shared" si="9"/>
        <v>0</v>
      </c>
      <c r="K156" s="77">
        <f>LARGE($E$2:$E$241,155)</f>
        <v>1.58E-3</v>
      </c>
      <c r="L156" s="67">
        <f t="shared" si="11"/>
        <v>158</v>
      </c>
      <c r="M156" s="85">
        <f t="shared" si="10"/>
        <v>0</v>
      </c>
      <c r="N156" s="39">
        <v>155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2:34" ht="17.25" thickTop="1" thickBot="1">
      <c r="B157">
        <f>wyniki!B188</f>
        <v>0</v>
      </c>
      <c r="C157">
        <f>wyniki!N188</f>
        <v>0</v>
      </c>
      <c r="D157">
        <v>1.56E-3</v>
      </c>
      <c r="E157" s="17">
        <f t="shared" si="8"/>
        <v>1.56E-3</v>
      </c>
      <c r="F157">
        <f>wyniki!$A$182</f>
        <v>0</v>
      </c>
      <c r="G157">
        <f>wyniki!G188</f>
        <v>0</v>
      </c>
      <c r="J157" s="93">
        <f t="shared" si="9"/>
        <v>0</v>
      </c>
      <c r="K157" s="77">
        <f>LARGE($E$2:$E$241,156)</f>
        <v>1.57E-3</v>
      </c>
      <c r="L157" s="67">
        <f t="shared" si="11"/>
        <v>157</v>
      </c>
      <c r="M157" s="85">
        <f t="shared" si="10"/>
        <v>0</v>
      </c>
      <c r="N157" s="39">
        <v>156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2:34" ht="17.25" thickTop="1" thickBot="1">
      <c r="B158">
        <f>wyniki!B190</f>
        <v>0</v>
      </c>
      <c r="C158">
        <f>wyniki!N190</f>
        <v>0</v>
      </c>
      <c r="D158">
        <v>1.57E-3</v>
      </c>
      <c r="E158" s="17">
        <f t="shared" si="8"/>
        <v>1.57E-3</v>
      </c>
      <c r="F158">
        <f>wyniki!$A$189</f>
        <v>0</v>
      </c>
      <c r="G158">
        <f>wyniki!G190</f>
        <v>0</v>
      </c>
      <c r="J158" s="93">
        <f t="shared" si="9"/>
        <v>0</v>
      </c>
      <c r="K158" s="77">
        <f>LARGE($E$2:$E$241,157)</f>
        <v>1.56E-3</v>
      </c>
      <c r="L158" s="67">
        <f t="shared" si="11"/>
        <v>156</v>
      </c>
      <c r="M158" s="85">
        <f t="shared" si="10"/>
        <v>0</v>
      </c>
      <c r="N158" s="39">
        <v>157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2:34" ht="17.25" thickTop="1" thickBot="1">
      <c r="B159">
        <f>wyniki!B191</f>
        <v>0</v>
      </c>
      <c r="C159">
        <f>wyniki!N191</f>
        <v>0</v>
      </c>
      <c r="D159">
        <v>1.58E-3</v>
      </c>
      <c r="E159" s="17">
        <f t="shared" si="8"/>
        <v>1.58E-3</v>
      </c>
      <c r="F159">
        <f>wyniki!$A$189</f>
        <v>0</v>
      </c>
      <c r="G159">
        <f>wyniki!G191</f>
        <v>0</v>
      </c>
      <c r="J159" s="93">
        <f t="shared" si="9"/>
        <v>0</v>
      </c>
      <c r="K159" s="77">
        <f>LARGE($E$2:$E$241,158)</f>
        <v>1.5499999999999999E-3</v>
      </c>
      <c r="L159" s="67">
        <f t="shared" si="11"/>
        <v>155</v>
      </c>
      <c r="M159" s="85">
        <f t="shared" si="10"/>
        <v>0</v>
      </c>
      <c r="N159" s="39">
        <v>158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2:34" ht="17.25" thickTop="1" thickBot="1">
      <c r="B160">
        <f>wyniki!B192</f>
        <v>0</v>
      </c>
      <c r="C160">
        <f>wyniki!N192</f>
        <v>0</v>
      </c>
      <c r="D160">
        <v>1.5900000000000001E-3</v>
      </c>
      <c r="E160" s="17">
        <f t="shared" si="8"/>
        <v>1.5900000000000001E-3</v>
      </c>
      <c r="F160">
        <f>wyniki!$A$189</f>
        <v>0</v>
      </c>
      <c r="G160">
        <f>wyniki!G192</f>
        <v>0</v>
      </c>
      <c r="J160" s="93">
        <f t="shared" si="9"/>
        <v>0</v>
      </c>
      <c r="K160" s="77">
        <f>LARGE($E$2:$E$241,159)</f>
        <v>1.5399999999999999E-3</v>
      </c>
      <c r="L160" s="67">
        <f t="shared" si="11"/>
        <v>154</v>
      </c>
      <c r="M160" s="85">
        <f t="shared" si="10"/>
        <v>0</v>
      </c>
      <c r="N160" s="39">
        <v>159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7.25" thickTop="1" thickBot="1">
      <c r="B161">
        <f>wyniki!B193</f>
        <v>0</v>
      </c>
      <c r="C161">
        <f>wyniki!N193</f>
        <v>0</v>
      </c>
      <c r="D161">
        <v>1.6000000000000001E-3</v>
      </c>
      <c r="E161" s="17">
        <f t="shared" si="8"/>
        <v>1.6000000000000001E-3</v>
      </c>
      <c r="F161">
        <f>wyniki!$A$189</f>
        <v>0</v>
      </c>
      <c r="G161">
        <f>wyniki!G193</f>
        <v>0</v>
      </c>
      <c r="J161" s="93">
        <f t="shared" si="9"/>
        <v>0</v>
      </c>
      <c r="K161" s="77">
        <f>LARGE($E$2:$E$241,160)</f>
        <v>1.5299999999999999E-3</v>
      </c>
      <c r="L161" s="67">
        <f t="shared" si="11"/>
        <v>153</v>
      </c>
      <c r="M161" s="85">
        <f t="shared" si="10"/>
        <v>0</v>
      </c>
      <c r="N161" s="39">
        <v>160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2:34" ht="17.25" thickTop="1" thickBot="1">
      <c r="B162">
        <f>wyniki!B194</f>
        <v>0</v>
      </c>
      <c r="C162">
        <f>wyniki!N194</f>
        <v>0</v>
      </c>
      <c r="D162">
        <v>1.6100000000000001E-3</v>
      </c>
      <c r="E162" s="17">
        <f t="shared" si="8"/>
        <v>1.6100000000000001E-3</v>
      </c>
      <c r="F162">
        <f>wyniki!$A$189</f>
        <v>0</v>
      </c>
      <c r="G162">
        <f>wyniki!G194</f>
        <v>0</v>
      </c>
      <c r="J162" s="93">
        <f t="shared" si="9"/>
        <v>0</v>
      </c>
      <c r="K162" s="77">
        <f>LARGE($E$2:$E$241,161)</f>
        <v>1.5200000000000001E-3</v>
      </c>
      <c r="L162" s="67">
        <f t="shared" si="11"/>
        <v>152</v>
      </c>
      <c r="M162" s="85">
        <f t="shared" si="10"/>
        <v>0</v>
      </c>
      <c r="N162" s="39">
        <v>161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2:34" ht="17.25" thickTop="1" thickBot="1">
      <c r="B163">
        <f>wyniki!B195</f>
        <v>0</v>
      </c>
      <c r="C163">
        <f>wyniki!N195</f>
        <v>0</v>
      </c>
      <c r="D163">
        <v>1.6199999999999999E-3</v>
      </c>
      <c r="E163" s="17">
        <f t="shared" si="8"/>
        <v>1.6199999999999999E-3</v>
      </c>
      <c r="F163">
        <f>wyniki!$A$189</f>
        <v>0</v>
      </c>
      <c r="G163">
        <f>wyniki!G195</f>
        <v>0</v>
      </c>
      <c r="J163" s="93">
        <f t="shared" si="9"/>
        <v>0</v>
      </c>
      <c r="K163" s="77">
        <f>LARGE($E$2:$E$241,162)</f>
        <v>1.5100000000000001E-3</v>
      </c>
      <c r="L163" s="67">
        <f t="shared" si="11"/>
        <v>151</v>
      </c>
      <c r="M163" s="85">
        <f t="shared" si="10"/>
        <v>0</v>
      </c>
      <c r="N163" s="39">
        <v>162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2:34" ht="17.25" thickTop="1" thickBot="1">
      <c r="B164">
        <f>wyniki!B197</f>
        <v>0</v>
      </c>
      <c r="C164">
        <f>wyniki!N197</f>
        <v>0</v>
      </c>
      <c r="D164">
        <v>1.6299999999999999E-3</v>
      </c>
      <c r="E164" s="17">
        <f t="shared" si="8"/>
        <v>1.6299999999999999E-3</v>
      </c>
      <c r="F164">
        <f>wyniki!$A$196</f>
        <v>0</v>
      </c>
      <c r="G164">
        <f>wyniki!G197</f>
        <v>0</v>
      </c>
      <c r="J164" s="93">
        <f t="shared" si="9"/>
        <v>0</v>
      </c>
      <c r="K164" s="77">
        <f>LARGE($E$2:$E$241,163)</f>
        <v>1.5E-3</v>
      </c>
      <c r="L164" s="67">
        <f t="shared" si="11"/>
        <v>150</v>
      </c>
      <c r="M164" s="85">
        <f t="shared" si="10"/>
        <v>0</v>
      </c>
      <c r="N164" s="39">
        <v>163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</row>
    <row r="165" spans="2:34" ht="17.25" thickTop="1" thickBot="1">
      <c r="B165">
        <f>wyniki!B198</f>
        <v>0</v>
      </c>
      <c r="C165">
        <f>wyniki!N198</f>
        <v>0</v>
      </c>
      <c r="D165">
        <v>1.64E-3</v>
      </c>
      <c r="E165" s="17">
        <f t="shared" si="8"/>
        <v>1.64E-3</v>
      </c>
      <c r="F165">
        <f>wyniki!$A$196</f>
        <v>0</v>
      </c>
      <c r="G165">
        <f>wyniki!G198</f>
        <v>0</v>
      </c>
      <c r="J165" s="93">
        <f t="shared" si="9"/>
        <v>0</v>
      </c>
      <c r="K165" s="77">
        <f>LARGE($E$2:$E$241,164)</f>
        <v>1.49E-3</v>
      </c>
      <c r="L165" s="67">
        <f t="shared" si="11"/>
        <v>149</v>
      </c>
      <c r="M165" s="85">
        <f t="shared" si="10"/>
        <v>0</v>
      </c>
      <c r="N165" s="39">
        <v>164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2:34" ht="17.25" thickTop="1" thickBot="1">
      <c r="B166">
        <f>wyniki!B199</f>
        <v>0</v>
      </c>
      <c r="C166">
        <f>wyniki!N199</f>
        <v>0</v>
      </c>
      <c r="D166">
        <v>1.65E-3</v>
      </c>
      <c r="E166" s="17">
        <f t="shared" si="8"/>
        <v>1.65E-3</v>
      </c>
      <c r="F166">
        <f>wyniki!$A$196</f>
        <v>0</v>
      </c>
      <c r="G166">
        <f>wyniki!G199</f>
        <v>0</v>
      </c>
      <c r="J166" s="93">
        <f t="shared" si="9"/>
        <v>0</v>
      </c>
      <c r="K166" s="77">
        <f>LARGE($E$2:$E$241,165)</f>
        <v>1.48E-3</v>
      </c>
      <c r="L166" s="67">
        <f t="shared" si="11"/>
        <v>148</v>
      </c>
      <c r="M166" s="85">
        <f t="shared" si="10"/>
        <v>0</v>
      </c>
      <c r="N166" s="39">
        <v>165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</row>
    <row r="167" spans="2:34" ht="17.25" thickTop="1" thickBot="1">
      <c r="B167">
        <f>wyniki!B200</f>
        <v>0</v>
      </c>
      <c r="C167">
        <f>wyniki!N200</f>
        <v>0</v>
      </c>
      <c r="D167">
        <v>1.66E-3</v>
      </c>
      <c r="E167" s="17">
        <f t="shared" si="8"/>
        <v>1.66E-3</v>
      </c>
      <c r="F167">
        <f>wyniki!$A$196</f>
        <v>0</v>
      </c>
      <c r="G167">
        <f>wyniki!G200</f>
        <v>0</v>
      </c>
      <c r="J167" s="93">
        <f t="shared" si="9"/>
        <v>0</v>
      </c>
      <c r="K167" s="77">
        <f>LARGE($E$2:$E$241,166)</f>
        <v>1.47E-3</v>
      </c>
      <c r="L167" s="67">
        <f t="shared" si="11"/>
        <v>147</v>
      </c>
      <c r="M167" s="85">
        <f t="shared" si="10"/>
        <v>0</v>
      </c>
      <c r="N167" s="39">
        <v>166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2:34" ht="17.25" thickTop="1" thickBot="1">
      <c r="B168">
        <f>wyniki!B201</f>
        <v>0</v>
      </c>
      <c r="C168">
        <f>wyniki!N201</f>
        <v>0</v>
      </c>
      <c r="D168">
        <v>1.67E-3</v>
      </c>
      <c r="E168" s="17">
        <f t="shared" si="8"/>
        <v>1.67E-3</v>
      </c>
      <c r="F168">
        <f>wyniki!$A$196</f>
        <v>0</v>
      </c>
      <c r="G168">
        <f>wyniki!G201</f>
        <v>0</v>
      </c>
      <c r="J168" s="93">
        <f t="shared" si="9"/>
        <v>0</v>
      </c>
      <c r="K168" s="77">
        <f>LARGE($E$2:$E$241,167)</f>
        <v>1.4599999999999999E-3</v>
      </c>
      <c r="L168" s="67">
        <f t="shared" si="11"/>
        <v>146</v>
      </c>
      <c r="M168" s="85">
        <f t="shared" si="10"/>
        <v>0</v>
      </c>
      <c r="N168" s="39">
        <v>167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</row>
    <row r="169" spans="2:34" ht="17.25" thickTop="1" thickBot="1">
      <c r="B169">
        <f>wyniki!B202</f>
        <v>0</v>
      </c>
      <c r="C169">
        <f>wyniki!N202</f>
        <v>0</v>
      </c>
      <c r="D169">
        <v>1.6800000000000001E-3</v>
      </c>
      <c r="E169" s="17">
        <f t="shared" si="8"/>
        <v>1.6800000000000001E-3</v>
      </c>
      <c r="F169">
        <f>wyniki!$A$196</f>
        <v>0</v>
      </c>
      <c r="G169">
        <f>wyniki!G202</f>
        <v>0</v>
      </c>
      <c r="J169" s="93">
        <f t="shared" si="9"/>
        <v>0</v>
      </c>
      <c r="K169" s="77">
        <f>LARGE($E$2:$E$241,168)</f>
        <v>1.4499999999999999E-3</v>
      </c>
      <c r="L169" s="67">
        <f t="shared" si="11"/>
        <v>145</v>
      </c>
      <c r="M169" s="85">
        <f t="shared" si="10"/>
        <v>0</v>
      </c>
      <c r="N169" s="39">
        <v>168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2:34" ht="17.25" thickTop="1" thickBot="1">
      <c r="B170">
        <f>wyniki!B204</f>
        <v>0</v>
      </c>
      <c r="C170">
        <f>wyniki!N204</f>
        <v>0</v>
      </c>
      <c r="D170">
        <v>1.6900000000000001E-3</v>
      </c>
      <c r="E170" s="17">
        <f t="shared" si="8"/>
        <v>1.6900000000000001E-3</v>
      </c>
      <c r="F170">
        <f>wyniki!$A$203</f>
        <v>0</v>
      </c>
      <c r="G170">
        <f>wyniki!G204</f>
        <v>0</v>
      </c>
      <c r="J170" s="93">
        <f t="shared" si="9"/>
        <v>0</v>
      </c>
      <c r="K170" s="77">
        <f>LARGE($E$2:$E$241,169)</f>
        <v>1.4400000000000001E-3</v>
      </c>
      <c r="L170" s="67">
        <f t="shared" si="11"/>
        <v>144</v>
      </c>
      <c r="M170" s="85">
        <f t="shared" si="10"/>
        <v>0</v>
      </c>
      <c r="N170" s="39">
        <v>169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</row>
    <row r="171" spans="2:34" ht="17.25" thickTop="1" thickBot="1">
      <c r="B171">
        <f>wyniki!B205</f>
        <v>0</v>
      </c>
      <c r="C171">
        <f>wyniki!N205</f>
        <v>0</v>
      </c>
      <c r="D171">
        <v>1.6999999999999999E-3</v>
      </c>
      <c r="E171" s="17">
        <f t="shared" si="8"/>
        <v>1.6999999999999999E-3</v>
      </c>
      <c r="F171">
        <f>wyniki!$A$203</f>
        <v>0</v>
      </c>
      <c r="G171">
        <f>wyniki!G205</f>
        <v>0</v>
      </c>
      <c r="J171" s="93">
        <f t="shared" si="9"/>
        <v>0</v>
      </c>
      <c r="K171" s="77">
        <f>LARGE($E$2:$E$241,170)</f>
        <v>1.4300000000000001E-3</v>
      </c>
      <c r="L171" s="67">
        <f t="shared" si="11"/>
        <v>143</v>
      </c>
      <c r="M171" s="85">
        <f t="shared" si="10"/>
        <v>0</v>
      </c>
      <c r="N171" s="39">
        <v>170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2:34" ht="17.25" thickTop="1" thickBot="1">
      <c r="B172">
        <f>wyniki!B206</f>
        <v>0</v>
      </c>
      <c r="C172">
        <f>wyniki!N206</f>
        <v>0</v>
      </c>
      <c r="D172">
        <v>1.7099999999999999E-3</v>
      </c>
      <c r="E172" s="17">
        <f t="shared" si="8"/>
        <v>1.7099999999999999E-3</v>
      </c>
      <c r="F172">
        <f>wyniki!$A$203</f>
        <v>0</v>
      </c>
      <c r="G172">
        <f>wyniki!G206</f>
        <v>0</v>
      </c>
      <c r="J172" s="93">
        <f t="shared" si="9"/>
        <v>0</v>
      </c>
      <c r="K172" s="77">
        <f>LARGE($E$2:$E$241,171)</f>
        <v>1.42E-3</v>
      </c>
      <c r="L172" s="67">
        <f t="shared" si="11"/>
        <v>142</v>
      </c>
      <c r="M172" s="85">
        <f t="shared" si="10"/>
        <v>0</v>
      </c>
      <c r="N172" s="39">
        <v>171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</row>
    <row r="173" spans="2:34" ht="17.25" thickTop="1" thickBot="1">
      <c r="B173">
        <f>wyniki!B207</f>
        <v>0</v>
      </c>
      <c r="C173">
        <f>wyniki!N207</f>
        <v>0</v>
      </c>
      <c r="D173">
        <v>1.72E-3</v>
      </c>
      <c r="E173" s="17">
        <f t="shared" si="8"/>
        <v>1.72E-3</v>
      </c>
      <c r="F173">
        <f>wyniki!$A$203</f>
        <v>0</v>
      </c>
      <c r="G173">
        <f>wyniki!G207</f>
        <v>0</v>
      </c>
      <c r="J173" s="93">
        <f t="shared" si="9"/>
        <v>0</v>
      </c>
      <c r="K173" s="77">
        <f>LARGE($E$2:$E$241,172)</f>
        <v>1.41E-3</v>
      </c>
      <c r="L173" s="67">
        <f t="shared" si="11"/>
        <v>141</v>
      </c>
      <c r="M173" s="85">
        <f t="shared" si="10"/>
        <v>0</v>
      </c>
      <c r="N173" s="39">
        <v>172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2:34" ht="17.25" thickTop="1" thickBot="1">
      <c r="B174">
        <f>wyniki!B208</f>
        <v>0</v>
      </c>
      <c r="C174">
        <f>wyniki!N208</f>
        <v>0</v>
      </c>
      <c r="D174">
        <v>1.73E-3</v>
      </c>
      <c r="E174" s="17">
        <f t="shared" si="8"/>
        <v>1.73E-3</v>
      </c>
      <c r="F174">
        <f>wyniki!$A$203</f>
        <v>0</v>
      </c>
      <c r="G174">
        <f>wyniki!G208</f>
        <v>0</v>
      </c>
      <c r="J174" s="93">
        <f t="shared" si="9"/>
        <v>0</v>
      </c>
      <c r="K174" s="77">
        <f>LARGE($E$2:$E$241,173)</f>
        <v>1.4E-3</v>
      </c>
      <c r="L174" s="67">
        <f t="shared" si="11"/>
        <v>140</v>
      </c>
      <c r="M174" s="85">
        <f t="shared" si="10"/>
        <v>0</v>
      </c>
      <c r="N174" s="39">
        <v>173</v>
      </c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</row>
    <row r="175" spans="2:34" ht="17.25" thickTop="1" thickBot="1">
      <c r="B175">
        <f>wyniki!B209</f>
        <v>0</v>
      </c>
      <c r="C175">
        <f>wyniki!N209</f>
        <v>0</v>
      </c>
      <c r="D175">
        <v>1.74E-3</v>
      </c>
      <c r="E175" s="17">
        <f t="shared" si="8"/>
        <v>1.74E-3</v>
      </c>
      <c r="F175">
        <f>wyniki!$A$203</f>
        <v>0</v>
      </c>
      <c r="G175">
        <f>wyniki!G209</f>
        <v>0</v>
      </c>
      <c r="J175" s="93">
        <f t="shared" si="9"/>
        <v>0</v>
      </c>
      <c r="K175" s="77">
        <f>LARGE($E$2:$E$241,174)</f>
        <v>1.39E-3</v>
      </c>
      <c r="L175" s="67">
        <f t="shared" si="11"/>
        <v>139</v>
      </c>
      <c r="M175" s="85">
        <f t="shared" si="10"/>
        <v>0</v>
      </c>
      <c r="N175" s="39">
        <v>174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2:34" ht="17.25" thickTop="1" thickBot="1">
      <c r="B176">
        <f>wyniki!B211</f>
        <v>0</v>
      </c>
      <c r="C176">
        <f>wyniki!N211</f>
        <v>0</v>
      </c>
      <c r="D176">
        <v>1.75E-3</v>
      </c>
      <c r="E176" s="17">
        <f t="shared" si="8"/>
        <v>1.75E-3</v>
      </c>
      <c r="F176">
        <f>wyniki!$A$210</f>
        <v>0</v>
      </c>
      <c r="G176">
        <f>wyniki!G211</f>
        <v>0</v>
      </c>
      <c r="J176" s="93">
        <f t="shared" si="9"/>
        <v>0</v>
      </c>
      <c r="K176" s="77">
        <f>LARGE($E$2:$E$241,175)</f>
        <v>1.3799999999999999E-3</v>
      </c>
      <c r="L176" s="67">
        <f t="shared" si="11"/>
        <v>138</v>
      </c>
      <c r="M176" s="85">
        <f t="shared" si="10"/>
        <v>0</v>
      </c>
      <c r="N176" s="39">
        <v>175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2:34" ht="17.25" thickTop="1" thickBot="1">
      <c r="B177">
        <f>wyniki!B212</f>
        <v>0</v>
      </c>
      <c r="C177">
        <f>wyniki!N212</f>
        <v>0</v>
      </c>
      <c r="D177">
        <v>1.7600000000000001E-3</v>
      </c>
      <c r="E177" s="17">
        <f t="shared" si="8"/>
        <v>1.7600000000000001E-3</v>
      </c>
      <c r="F177">
        <f>wyniki!$A$210</f>
        <v>0</v>
      </c>
      <c r="G177">
        <f>wyniki!G212</f>
        <v>0</v>
      </c>
      <c r="J177" s="93">
        <f t="shared" si="9"/>
        <v>0</v>
      </c>
      <c r="K177" s="77">
        <f>LARGE($E$2:$E$241,176)</f>
        <v>1.3699999999999999E-3</v>
      </c>
      <c r="L177" s="67">
        <f t="shared" si="11"/>
        <v>137</v>
      </c>
      <c r="M177" s="85">
        <f t="shared" si="10"/>
        <v>0</v>
      </c>
      <c r="N177" s="39">
        <v>176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2:34" ht="17.25" thickTop="1" thickBot="1">
      <c r="B178">
        <f>wyniki!B213</f>
        <v>0</v>
      </c>
      <c r="C178">
        <f>wyniki!N213</f>
        <v>0</v>
      </c>
      <c r="D178">
        <v>1.7700000000000001E-3</v>
      </c>
      <c r="E178" s="17">
        <f t="shared" si="8"/>
        <v>1.7700000000000001E-3</v>
      </c>
      <c r="F178">
        <f>wyniki!$A$210</f>
        <v>0</v>
      </c>
      <c r="G178">
        <f>wyniki!G213</f>
        <v>0</v>
      </c>
      <c r="J178" s="93">
        <f t="shared" si="9"/>
        <v>0</v>
      </c>
      <c r="K178" s="77">
        <f>LARGE($E$2:$E$241,177)</f>
        <v>1.3600000000000001E-3</v>
      </c>
      <c r="L178" s="67">
        <f t="shared" si="11"/>
        <v>136</v>
      </c>
      <c r="M178" s="85">
        <f t="shared" si="10"/>
        <v>0</v>
      </c>
      <c r="N178" s="39">
        <v>177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</row>
    <row r="179" spans="2:34" ht="17.25" thickTop="1" thickBot="1">
      <c r="B179">
        <f>wyniki!B214</f>
        <v>0</v>
      </c>
      <c r="C179">
        <f>wyniki!N214</f>
        <v>0</v>
      </c>
      <c r="D179">
        <v>1.7799999999999999E-3</v>
      </c>
      <c r="E179" s="17">
        <f t="shared" si="8"/>
        <v>1.7799999999999999E-3</v>
      </c>
      <c r="F179">
        <f>wyniki!$A$210</f>
        <v>0</v>
      </c>
      <c r="G179">
        <f>wyniki!G214</f>
        <v>0</v>
      </c>
      <c r="J179" s="93">
        <f t="shared" si="9"/>
        <v>0</v>
      </c>
      <c r="K179" s="77">
        <f>LARGE($E$2:$E$241,178)</f>
        <v>1.3500000000000001E-3</v>
      </c>
      <c r="L179" s="67">
        <f t="shared" si="11"/>
        <v>135</v>
      </c>
      <c r="M179" s="85">
        <f t="shared" si="10"/>
        <v>0</v>
      </c>
      <c r="N179" s="39">
        <v>178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2:34" ht="17.25" thickTop="1" thickBot="1">
      <c r="B180">
        <f>wyniki!B215</f>
        <v>0</v>
      </c>
      <c r="C180">
        <f>wyniki!N215</f>
        <v>0</v>
      </c>
      <c r="D180">
        <v>1.7899999999999999E-3</v>
      </c>
      <c r="E180" s="17">
        <f t="shared" si="8"/>
        <v>1.7899999999999999E-3</v>
      </c>
      <c r="F180">
        <f>wyniki!$A$210</f>
        <v>0</v>
      </c>
      <c r="G180">
        <f>wyniki!G215</f>
        <v>0</v>
      </c>
      <c r="J180" s="93">
        <f t="shared" si="9"/>
        <v>0</v>
      </c>
      <c r="K180" s="77">
        <f>LARGE($E$2:$E$241,179)</f>
        <v>1.34E-3</v>
      </c>
      <c r="L180" s="67">
        <f t="shared" si="11"/>
        <v>134</v>
      </c>
      <c r="M180" s="85">
        <f t="shared" si="10"/>
        <v>0</v>
      </c>
      <c r="N180" s="39">
        <v>179</v>
      </c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</row>
    <row r="181" spans="2:34" ht="17.25" thickTop="1" thickBot="1">
      <c r="B181">
        <f>wyniki!B216</f>
        <v>0</v>
      </c>
      <c r="C181">
        <f>wyniki!N216</f>
        <v>0</v>
      </c>
      <c r="D181">
        <v>1.8E-3</v>
      </c>
      <c r="E181" s="17">
        <f t="shared" si="8"/>
        <v>1.8E-3</v>
      </c>
      <c r="F181">
        <f>wyniki!$A$210</f>
        <v>0</v>
      </c>
      <c r="G181">
        <f>wyniki!G216</f>
        <v>0</v>
      </c>
      <c r="J181" s="93">
        <f t="shared" si="9"/>
        <v>0</v>
      </c>
      <c r="K181" s="77">
        <f>LARGE($E$2:$E$241,180)</f>
        <v>1.33E-3</v>
      </c>
      <c r="L181" s="67">
        <f t="shared" si="11"/>
        <v>133</v>
      </c>
      <c r="M181" s="85">
        <f t="shared" si="10"/>
        <v>0</v>
      </c>
      <c r="N181" s="39">
        <v>180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2:34" ht="17.25" thickTop="1" thickBot="1">
      <c r="B182">
        <f>wyniki!B218</f>
        <v>0</v>
      </c>
      <c r="C182">
        <f>wyniki!N218</f>
        <v>0</v>
      </c>
      <c r="D182">
        <v>1.81E-3</v>
      </c>
      <c r="E182" s="17">
        <f t="shared" si="8"/>
        <v>1.81E-3</v>
      </c>
      <c r="F182">
        <f>wyniki!$A$217</f>
        <v>0</v>
      </c>
      <c r="G182">
        <f>wyniki!G218</f>
        <v>0</v>
      </c>
      <c r="J182" s="93">
        <f t="shared" si="9"/>
        <v>0</v>
      </c>
      <c r="K182" s="77">
        <f>LARGE($E$2:$E$241,181)</f>
        <v>1.32E-3</v>
      </c>
      <c r="L182" s="67">
        <f t="shared" si="11"/>
        <v>132</v>
      </c>
      <c r="M182" s="85">
        <f t="shared" si="10"/>
        <v>0</v>
      </c>
      <c r="N182" s="39">
        <v>181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</row>
    <row r="183" spans="2:34" ht="17.25" thickTop="1" thickBot="1">
      <c r="B183">
        <f>wyniki!B219</f>
        <v>0</v>
      </c>
      <c r="C183">
        <f>wyniki!N219</f>
        <v>0</v>
      </c>
      <c r="D183">
        <v>1.82E-3</v>
      </c>
      <c r="E183" s="17">
        <f t="shared" si="8"/>
        <v>1.82E-3</v>
      </c>
      <c r="F183">
        <f>wyniki!$A$217</f>
        <v>0</v>
      </c>
      <c r="G183">
        <f>wyniki!G219</f>
        <v>0</v>
      </c>
      <c r="J183" s="93">
        <f t="shared" si="9"/>
        <v>0</v>
      </c>
      <c r="K183" s="77">
        <f>LARGE($E$2:$E$241,182)</f>
        <v>1.31E-3</v>
      </c>
      <c r="L183" s="67">
        <f t="shared" si="11"/>
        <v>131</v>
      </c>
      <c r="M183" s="85">
        <f t="shared" si="10"/>
        <v>0</v>
      </c>
      <c r="N183" s="39">
        <v>182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</row>
    <row r="184" spans="2:34" ht="17.25" thickTop="1" thickBot="1">
      <c r="B184">
        <f>wyniki!B220</f>
        <v>0</v>
      </c>
      <c r="C184">
        <f>wyniki!N220</f>
        <v>0</v>
      </c>
      <c r="D184">
        <v>1.83E-3</v>
      </c>
      <c r="E184" s="17">
        <f t="shared" si="8"/>
        <v>1.83E-3</v>
      </c>
      <c r="F184">
        <f>wyniki!$A$217</f>
        <v>0</v>
      </c>
      <c r="G184">
        <f>wyniki!G220</f>
        <v>0</v>
      </c>
      <c r="J184" s="93">
        <f t="shared" si="9"/>
        <v>0</v>
      </c>
      <c r="K184" s="77">
        <f>LARGE($E$2:$E$241,183)</f>
        <v>1.2999999999999999E-3</v>
      </c>
      <c r="L184" s="67">
        <f t="shared" si="11"/>
        <v>130</v>
      </c>
      <c r="M184" s="85">
        <f t="shared" si="10"/>
        <v>0</v>
      </c>
      <c r="N184" s="39">
        <v>183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</row>
    <row r="185" spans="2:34" ht="17.25" thickTop="1" thickBot="1">
      <c r="B185">
        <f>wyniki!B221</f>
        <v>0</v>
      </c>
      <c r="C185">
        <f>wyniki!N221</f>
        <v>0</v>
      </c>
      <c r="D185">
        <v>1.8400000000000001E-3</v>
      </c>
      <c r="E185" s="17">
        <f t="shared" si="8"/>
        <v>1.8400000000000001E-3</v>
      </c>
      <c r="F185">
        <f>wyniki!$A$217</f>
        <v>0</v>
      </c>
      <c r="G185">
        <f>wyniki!G221</f>
        <v>0</v>
      </c>
      <c r="J185" s="93">
        <f t="shared" si="9"/>
        <v>0</v>
      </c>
      <c r="K185" s="77">
        <f>LARGE($E$2:$E$241,184)</f>
        <v>1.2899999999999999E-3</v>
      </c>
      <c r="L185" s="67">
        <f t="shared" si="11"/>
        <v>129</v>
      </c>
      <c r="M185" s="85">
        <f t="shared" si="10"/>
        <v>0</v>
      </c>
      <c r="N185" s="39">
        <v>184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2:34" ht="17.25" thickTop="1" thickBot="1">
      <c r="B186">
        <f>wyniki!B222</f>
        <v>0</v>
      </c>
      <c r="C186">
        <f>wyniki!N222</f>
        <v>0</v>
      </c>
      <c r="D186">
        <v>1.8500000000000001E-3</v>
      </c>
      <c r="E186" s="17">
        <f t="shared" si="8"/>
        <v>1.8500000000000001E-3</v>
      </c>
      <c r="F186">
        <f>wyniki!$A$217</f>
        <v>0</v>
      </c>
      <c r="G186">
        <f>wyniki!G222</f>
        <v>0</v>
      </c>
      <c r="J186" s="93">
        <f t="shared" si="9"/>
        <v>0</v>
      </c>
      <c r="K186" s="77">
        <f>LARGE($E$2:$E$241,185)</f>
        <v>1.2800000000000001E-3</v>
      </c>
      <c r="L186" s="67">
        <f t="shared" si="11"/>
        <v>128</v>
      </c>
      <c r="M186" s="85">
        <f t="shared" si="10"/>
        <v>0</v>
      </c>
      <c r="N186" s="39">
        <v>185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</row>
    <row r="187" spans="2:34" ht="17.25" thickTop="1" thickBot="1">
      <c r="B187">
        <f>wyniki!B223</f>
        <v>0</v>
      </c>
      <c r="C187">
        <f>wyniki!N223</f>
        <v>0</v>
      </c>
      <c r="D187">
        <v>1.8600000000000001E-3</v>
      </c>
      <c r="E187" s="17">
        <f t="shared" si="8"/>
        <v>1.8600000000000001E-3</v>
      </c>
      <c r="F187">
        <f>wyniki!$A$217</f>
        <v>0</v>
      </c>
      <c r="G187">
        <f>wyniki!G223</f>
        <v>0</v>
      </c>
      <c r="J187" s="93">
        <f t="shared" si="9"/>
        <v>0</v>
      </c>
      <c r="K187" s="77">
        <f>LARGE($E$2:$E$241,186)</f>
        <v>1.2700000000000001E-3</v>
      </c>
      <c r="L187" s="67">
        <f t="shared" si="11"/>
        <v>127</v>
      </c>
      <c r="M187" s="85">
        <f t="shared" si="10"/>
        <v>0</v>
      </c>
      <c r="N187" s="39">
        <v>186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</row>
    <row r="188" spans="2:34" ht="17.25" thickTop="1" thickBot="1">
      <c r="B188">
        <f>wyniki!B225</f>
        <v>0</v>
      </c>
      <c r="C188">
        <f>wyniki!N225</f>
        <v>0</v>
      </c>
      <c r="D188">
        <v>1.8699999999999999E-3</v>
      </c>
      <c r="E188" s="17">
        <f t="shared" si="8"/>
        <v>1.8699999999999999E-3</v>
      </c>
      <c r="F188">
        <f>wyniki!$A$224</f>
        <v>0</v>
      </c>
      <c r="G188">
        <f>wyniki!G225</f>
        <v>0</v>
      </c>
      <c r="J188" s="93">
        <f t="shared" si="9"/>
        <v>0</v>
      </c>
      <c r="K188" s="77">
        <f>LARGE($E$2:$E$241,187)</f>
        <v>1.2600000000000001E-3</v>
      </c>
      <c r="L188" s="67">
        <f t="shared" si="11"/>
        <v>126</v>
      </c>
      <c r="M188" s="85">
        <f t="shared" si="10"/>
        <v>0</v>
      </c>
      <c r="N188" s="39">
        <v>187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</row>
    <row r="189" spans="2:34" ht="17.25" thickTop="1" thickBot="1">
      <c r="B189">
        <f>wyniki!B226</f>
        <v>0</v>
      </c>
      <c r="C189">
        <f>wyniki!N226</f>
        <v>0</v>
      </c>
      <c r="D189">
        <v>1.8799999999999999E-3</v>
      </c>
      <c r="E189" s="17">
        <f t="shared" si="8"/>
        <v>1.8799999999999999E-3</v>
      </c>
      <c r="F189">
        <f>wyniki!$A$224</f>
        <v>0</v>
      </c>
      <c r="G189">
        <f>wyniki!G226</f>
        <v>0</v>
      </c>
      <c r="J189" s="93">
        <f t="shared" si="9"/>
        <v>0</v>
      </c>
      <c r="K189" s="77">
        <f>LARGE($E$2:$E$241,188)</f>
        <v>1.25E-3</v>
      </c>
      <c r="L189" s="67">
        <f t="shared" si="11"/>
        <v>125</v>
      </c>
      <c r="M189" s="85">
        <f t="shared" si="10"/>
        <v>0</v>
      </c>
      <c r="N189" s="39">
        <v>188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2:34" ht="17.25" thickTop="1" thickBot="1">
      <c r="B190">
        <f>wyniki!B227</f>
        <v>0</v>
      </c>
      <c r="C190">
        <f>wyniki!N227</f>
        <v>0</v>
      </c>
      <c r="D190">
        <v>1.89E-3</v>
      </c>
      <c r="E190" s="17">
        <f t="shared" si="8"/>
        <v>1.89E-3</v>
      </c>
      <c r="F190">
        <f>wyniki!$A$224</f>
        <v>0</v>
      </c>
      <c r="G190">
        <f>wyniki!G227</f>
        <v>0</v>
      </c>
      <c r="J190" s="93">
        <f t="shared" si="9"/>
        <v>0</v>
      </c>
      <c r="K190" s="77">
        <f>LARGE($E$2:$E$241,189)</f>
        <v>1.24E-3</v>
      </c>
      <c r="L190" s="67">
        <f t="shared" si="11"/>
        <v>124</v>
      </c>
      <c r="M190" s="85">
        <f t="shared" si="10"/>
        <v>0</v>
      </c>
      <c r="N190" s="39">
        <v>189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</row>
    <row r="191" spans="2:34" ht="17.25" thickTop="1" thickBot="1">
      <c r="B191">
        <f>wyniki!B228</f>
        <v>0</v>
      </c>
      <c r="C191">
        <f>wyniki!N228</f>
        <v>0</v>
      </c>
      <c r="D191">
        <v>1.9E-3</v>
      </c>
      <c r="E191" s="17">
        <f t="shared" si="8"/>
        <v>1.9E-3</v>
      </c>
      <c r="F191">
        <f>wyniki!$A$224</f>
        <v>0</v>
      </c>
      <c r="G191">
        <f>wyniki!G228</f>
        <v>0</v>
      </c>
      <c r="J191" s="93">
        <f t="shared" si="9"/>
        <v>0</v>
      </c>
      <c r="K191" s="77">
        <f>LARGE($E$2:$E$241,190)</f>
        <v>1.23E-3</v>
      </c>
      <c r="L191" s="67">
        <f t="shared" si="11"/>
        <v>123</v>
      </c>
      <c r="M191" s="85">
        <f t="shared" si="10"/>
        <v>0</v>
      </c>
      <c r="N191" s="39">
        <v>190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</row>
    <row r="192" spans="2:34" ht="17.25" thickTop="1" thickBot="1">
      <c r="B192">
        <f>wyniki!B229</f>
        <v>0</v>
      </c>
      <c r="C192">
        <f>wyniki!N229</f>
        <v>0</v>
      </c>
      <c r="D192">
        <v>1.91E-3</v>
      </c>
      <c r="E192" s="17">
        <f t="shared" si="8"/>
        <v>1.91E-3</v>
      </c>
      <c r="F192">
        <f>wyniki!$A$224</f>
        <v>0</v>
      </c>
      <c r="G192">
        <f>wyniki!G229</f>
        <v>0</v>
      </c>
      <c r="J192" s="93">
        <f t="shared" si="9"/>
        <v>0</v>
      </c>
      <c r="K192" s="77">
        <f>LARGE($E$2:$E$241,191)</f>
        <v>1.2199999999999999E-3</v>
      </c>
      <c r="L192" s="67">
        <f t="shared" si="11"/>
        <v>122</v>
      </c>
      <c r="M192" s="85">
        <f t="shared" si="10"/>
        <v>0</v>
      </c>
      <c r="N192" s="39">
        <v>191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</row>
    <row r="193" spans="2:34" ht="17.25" thickTop="1" thickBot="1">
      <c r="B193">
        <f>wyniki!B230</f>
        <v>0</v>
      </c>
      <c r="C193">
        <f>wyniki!N230</f>
        <v>0</v>
      </c>
      <c r="D193">
        <v>1.92E-3</v>
      </c>
      <c r="E193" s="17">
        <f t="shared" si="8"/>
        <v>1.92E-3</v>
      </c>
      <c r="F193">
        <f>wyniki!$A$224</f>
        <v>0</v>
      </c>
      <c r="G193">
        <f>wyniki!G230</f>
        <v>0</v>
      </c>
      <c r="J193" s="93">
        <f t="shared" si="9"/>
        <v>0</v>
      </c>
      <c r="K193" s="77">
        <f>LARGE($E$2:$E$241,192)</f>
        <v>1.2099999999999999E-3</v>
      </c>
      <c r="L193" s="67">
        <f t="shared" si="11"/>
        <v>121</v>
      </c>
      <c r="M193" s="85">
        <f t="shared" si="10"/>
        <v>0</v>
      </c>
      <c r="N193" s="39">
        <v>192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</row>
    <row r="194" spans="2:34" ht="17.25" thickTop="1" thickBot="1">
      <c r="B194">
        <f>wyniki!B232</f>
        <v>0</v>
      </c>
      <c r="C194">
        <f>wyniki!N232</f>
        <v>0</v>
      </c>
      <c r="D194">
        <v>1.9300000000000001E-3</v>
      </c>
      <c r="E194" s="17">
        <f t="shared" si="8"/>
        <v>1.9300000000000001E-3</v>
      </c>
      <c r="F194">
        <f>wyniki!$A$231</f>
        <v>0</v>
      </c>
      <c r="G194">
        <f>wyniki!G232</f>
        <v>0</v>
      </c>
      <c r="J194" s="93">
        <f t="shared" si="9"/>
        <v>0</v>
      </c>
      <c r="K194" s="77">
        <f>LARGE($E$2:$E$241,193)</f>
        <v>1.1999999999999999E-3</v>
      </c>
      <c r="L194" s="67">
        <f t="shared" si="11"/>
        <v>120</v>
      </c>
      <c r="M194" s="85">
        <f t="shared" si="10"/>
        <v>0</v>
      </c>
      <c r="N194" s="39">
        <v>193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2:34" ht="17.25" thickTop="1" thickBot="1">
      <c r="B195">
        <f>wyniki!B233</f>
        <v>0</v>
      </c>
      <c r="C195">
        <f>wyniki!N233</f>
        <v>0</v>
      </c>
      <c r="D195">
        <v>1.9400000000000001E-3</v>
      </c>
      <c r="E195" s="17">
        <f t="shared" ref="E195:E241" si="12">C195+D195</f>
        <v>1.9400000000000001E-3</v>
      </c>
      <c r="F195">
        <f>wyniki!$A$231</f>
        <v>0</v>
      </c>
      <c r="G195">
        <f>wyniki!G233</f>
        <v>0</v>
      </c>
      <c r="J195" s="93">
        <f t="shared" ref="J195:J241" si="13">INDEX($B$2:$E$2411,L195,1)</f>
        <v>0</v>
      </c>
      <c r="K195" s="77">
        <f>LARGE($E$2:$E$241,194)</f>
        <v>1.1900000000000001E-3</v>
      </c>
      <c r="L195" s="67">
        <f t="shared" si="11"/>
        <v>119</v>
      </c>
      <c r="M195" s="85">
        <f t="shared" ref="M195:M241" si="14">INDEX($E$2:$F$241,L195,2)</f>
        <v>0</v>
      </c>
      <c r="N195" s="39">
        <v>194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</row>
    <row r="196" spans="2:34" ht="17.25" thickTop="1" thickBot="1">
      <c r="B196">
        <f>wyniki!B234</f>
        <v>0</v>
      </c>
      <c r="C196">
        <f>wyniki!N234</f>
        <v>0</v>
      </c>
      <c r="D196">
        <v>1.9499999999999999E-3</v>
      </c>
      <c r="E196" s="17">
        <f t="shared" si="12"/>
        <v>1.9499999999999999E-3</v>
      </c>
      <c r="F196">
        <f>wyniki!$A$231</f>
        <v>0</v>
      </c>
      <c r="G196">
        <f>wyniki!G234</f>
        <v>0</v>
      </c>
      <c r="J196" s="93">
        <f t="shared" si="13"/>
        <v>0</v>
      </c>
      <c r="K196" s="77">
        <f>LARGE($E$2:$E$241,195)</f>
        <v>1.1800000000000001E-3</v>
      </c>
      <c r="L196" s="67">
        <f t="shared" ref="L196:L241" si="15">MATCH(K196,$E$2:$E$241,0)</f>
        <v>118</v>
      </c>
      <c r="M196" s="85">
        <f t="shared" si="14"/>
        <v>0</v>
      </c>
      <c r="N196" s="39">
        <v>195</v>
      </c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2:34" ht="17.25" thickTop="1" thickBot="1">
      <c r="B197">
        <f>wyniki!B235</f>
        <v>0</v>
      </c>
      <c r="C197">
        <f>wyniki!N235</f>
        <v>0</v>
      </c>
      <c r="D197">
        <v>1.9599999999999999E-3</v>
      </c>
      <c r="E197" s="17">
        <f t="shared" si="12"/>
        <v>1.9599999999999999E-3</v>
      </c>
      <c r="F197">
        <f>wyniki!$A$231</f>
        <v>0</v>
      </c>
      <c r="G197">
        <f>wyniki!G235</f>
        <v>0</v>
      </c>
      <c r="J197" s="93">
        <f t="shared" si="13"/>
        <v>0</v>
      </c>
      <c r="K197" s="77">
        <f>LARGE($E$2:$E$241,196)</f>
        <v>1.17E-3</v>
      </c>
      <c r="L197" s="67">
        <f t="shared" si="15"/>
        <v>117</v>
      </c>
      <c r="M197" s="85">
        <f t="shared" si="14"/>
        <v>0</v>
      </c>
      <c r="N197" s="39">
        <v>196</v>
      </c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</row>
    <row r="198" spans="2:34" ht="17.25" thickTop="1" thickBot="1">
      <c r="B198">
        <f>wyniki!B236</f>
        <v>0</v>
      </c>
      <c r="C198">
        <f>wyniki!N236</f>
        <v>0</v>
      </c>
      <c r="D198">
        <v>1.97E-3</v>
      </c>
      <c r="E198" s="17">
        <f t="shared" si="12"/>
        <v>1.97E-3</v>
      </c>
      <c r="F198">
        <f>wyniki!$A$231</f>
        <v>0</v>
      </c>
      <c r="G198">
        <f>wyniki!G236</f>
        <v>0</v>
      </c>
      <c r="J198" s="93">
        <f t="shared" si="13"/>
        <v>0</v>
      </c>
      <c r="K198" s="77">
        <f>LARGE($E$2:$E$241,197)</f>
        <v>1.16E-3</v>
      </c>
      <c r="L198" s="67">
        <f t="shared" si="15"/>
        <v>116</v>
      </c>
      <c r="M198" s="85">
        <f t="shared" si="14"/>
        <v>0</v>
      </c>
      <c r="N198" s="39">
        <v>197</v>
      </c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2:34" ht="17.25" thickTop="1" thickBot="1">
      <c r="B199">
        <f>wyniki!B237</f>
        <v>0</v>
      </c>
      <c r="C199">
        <f>wyniki!N237</f>
        <v>0</v>
      </c>
      <c r="D199">
        <v>1.98E-3</v>
      </c>
      <c r="E199" s="17">
        <f t="shared" si="12"/>
        <v>1.98E-3</v>
      </c>
      <c r="F199">
        <f>wyniki!$A$231</f>
        <v>0</v>
      </c>
      <c r="G199">
        <f>wyniki!G237</f>
        <v>0</v>
      </c>
      <c r="J199" s="93">
        <f t="shared" si="13"/>
        <v>0</v>
      </c>
      <c r="K199" s="77">
        <f>LARGE($E$2:$E$241,198)</f>
        <v>1.15E-3</v>
      </c>
      <c r="L199" s="67">
        <f t="shared" si="15"/>
        <v>115</v>
      </c>
      <c r="M199" s="85">
        <f t="shared" si="14"/>
        <v>0</v>
      </c>
      <c r="N199" s="39">
        <v>198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2:34" ht="17.25" thickTop="1" thickBot="1">
      <c r="B200">
        <f>wyniki!B239</f>
        <v>0</v>
      </c>
      <c r="C200">
        <f>wyniki!N239</f>
        <v>0</v>
      </c>
      <c r="D200">
        <v>1.99E-3</v>
      </c>
      <c r="E200" s="17">
        <f t="shared" si="12"/>
        <v>1.99E-3</v>
      </c>
      <c r="F200">
        <f>wyniki!$A$238</f>
        <v>0</v>
      </c>
      <c r="G200">
        <f>wyniki!G239</f>
        <v>0</v>
      </c>
      <c r="J200" s="93">
        <f t="shared" si="13"/>
        <v>0</v>
      </c>
      <c r="K200" s="77">
        <f>LARGE($E$2:$E$241,199)</f>
        <v>1.14E-3</v>
      </c>
      <c r="L200" s="67">
        <f t="shared" si="15"/>
        <v>114</v>
      </c>
      <c r="M200" s="85">
        <f t="shared" si="14"/>
        <v>0</v>
      </c>
      <c r="N200" s="39">
        <v>199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2:34" ht="17.25" thickTop="1" thickBot="1">
      <c r="B201">
        <f>wyniki!B240</f>
        <v>0</v>
      </c>
      <c r="C201">
        <f>wyniki!N240</f>
        <v>0</v>
      </c>
      <c r="D201">
        <v>2E-3</v>
      </c>
      <c r="E201" s="17">
        <f t="shared" si="12"/>
        <v>2E-3</v>
      </c>
      <c r="F201">
        <f>wyniki!$A$238</f>
        <v>0</v>
      </c>
      <c r="G201">
        <f>wyniki!G240</f>
        <v>0</v>
      </c>
      <c r="J201" s="93">
        <f t="shared" si="13"/>
        <v>0</v>
      </c>
      <c r="K201" s="77">
        <f>LARGE($E$2:$E$241,200)</f>
        <v>1.1299999999999999E-3</v>
      </c>
      <c r="L201" s="67">
        <f t="shared" si="15"/>
        <v>113</v>
      </c>
      <c r="M201" s="85">
        <f t="shared" si="14"/>
        <v>0</v>
      </c>
      <c r="N201" s="39">
        <v>200</v>
      </c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2:34" ht="17.25" thickTop="1" thickBot="1">
      <c r="B202">
        <f>wyniki!B241</f>
        <v>0</v>
      </c>
      <c r="C202">
        <f>wyniki!N241</f>
        <v>0</v>
      </c>
      <c r="D202">
        <v>2.0100000000000001E-3</v>
      </c>
      <c r="E202" s="17">
        <f t="shared" si="12"/>
        <v>2.0100000000000001E-3</v>
      </c>
      <c r="F202">
        <f>wyniki!$A$238</f>
        <v>0</v>
      </c>
      <c r="G202">
        <f>wyniki!G241</f>
        <v>0</v>
      </c>
      <c r="J202" s="93">
        <f t="shared" si="13"/>
        <v>0</v>
      </c>
      <c r="K202" s="77">
        <f>LARGE($E$2:$E$241,201)</f>
        <v>1.1199999999999999E-3</v>
      </c>
      <c r="L202" s="67">
        <f t="shared" si="15"/>
        <v>112</v>
      </c>
      <c r="M202" s="85">
        <f t="shared" si="14"/>
        <v>0</v>
      </c>
      <c r="N202" s="39">
        <v>201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  <row r="203" spans="2:34" ht="17.25" thickTop="1" thickBot="1">
      <c r="B203">
        <f>wyniki!B242</f>
        <v>0</v>
      </c>
      <c r="C203">
        <f>wyniki!N242</f>
        <v>0</v>
      </c>
      <c r="D203">
        <v>2.0200000000000001E-3</v>
      </c>
      <c r="E203" s="17">
        <f t="shared" si="12"/>
        <v>2.0200000000000001E-3</v>
      </c>
      <c r="F203">
        <f>wyniki!$A$238</f>
        <v>0</v>
      </c>
      <c r="G203">
        <f>wyniki!G242</f>
        <v>0</v>
      </c>
      <c r="J203" s="93">
        <f t="shared" si="13"/>
        <v>0</v>
      </c>
      <c r="K203" s="77">
        <f>LARGE($E$2:$E$241,202)</f>
        <v>1.1100000000000001E-3</v>
      </c>
      <c r="L203" s="67">
        <f t="shared" si="15"/>
        <v>111</v>
      </c>
      <c r="M203" s="85">
        <f t="shared" si="14"/>
        <v>0</v>
      </c>
      <c r="N203" s="39">
        <v>202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</row>
    <row r="204" spans="2:34" ht="17.25" thickTop="1" thickBot="1">
      <c r="B204">
        <f>wyniki!B243</f>
        <v>0</v>
      </c>
      <c r="C204">
        <f>wyniki!N243</f>
        <v>0</v>
      </c>
      <c r="D204">
        <v>2.0300000000000001E-3</v>
      </c>
      <c r="E204" s="17">
        <f t="shared" si="12"/>
        <v>2.0300000000000001E-3</v>
      </c>
      <c r="F204">
        <f>wyniki!$A$238</f>
        <v>0</v>
      </c>
      <c r="G204">
        <f>wyniki!G243</f>
        <v>0</v>
      </c>
      <c r="J204" s="93">
        <f t="shared" si="13"/>
        <v>0</v>
      </c>
      <c r="K204" s="77">
        <f>LARGE($E$2:$E$241,203)</f>
        <v>1.1000000000000001E-3</v>
      </c>
      <c r="L204" s="67">
        <f t="shared" si="15"/>
        <v>110</v>
      </c>
      <c r="M204" s="85">
        <f t="shared" si="14"/>
        <v>0</v>
      </c>
      <c r="N204" s="39">
        <v>203</v>
      </c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</row>
    <row r="205" spans="2:34" ht="17.25" thickTop="1" thickBot="1">
      <c r="B205">
        <f>wyniki!B244</f>
        <v>0</v>
      </c>
      <c r="C205">
        <f>wyniki!N244</f>
        <v>0</v>
      </c>
      <c r="D205">
        <v>2.0400000000000001E-3</v>
      </c>
      <c r="E205" s="17">
        <f t="shared" si="12"/>
        <v>2.0400000000000001E-3</v>
      </c>
      <c r="F205">
        <f>wyniki!$A$238</f>
        <v>0</v>
      </c>
      <c r="G205">
        <f>wyniki!G244</f>
        <v>0</v>
      </c>
      <c r="J205" s="93">
        <f t="shared" si="13"/>
        <v>0</v>
      </c>
      <c r="K205" s="77">
        <f>LARGE($E$2:$E$241,204)</f>
        <v>1.09E-3</v>
      </c>
      <c r="L205" s="67">
        <f t="shared" si="15"/>
        <v>109</v>
      </c>
      <c r="M205" s="85">
        <f t="shared" si="14"/>
        <v>0</v>
      </c>
      <c r="N205" s="39">
        <v>204</v>
      </c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</row>
    <row r="206" spans="2:34" ht="17.25" thickTop="1" thickBot="1">
      <c r="B206">
        <f>wyniki!B246</f>
        <v>0</v>
      </c>
      <c r="C206">
        <f>wyniki!N246</f>
        <v>0</v>
      </c>
      <c r="D206">
        <v>2.0500000000000002E-3</v>
      </c>
      <c r="E206" s="17">
        <f t="shared" si="12"/>
        <v>2.0500000000000002E-3</v>
      </c>
      <c r="F206">
        <f>wyniki!$A$245</f>
        <v>0</v>
      </c>
      <c r="G206">
        <f>wyniki!G246</f>
        <v>0</v>
      </c>
      <c r="J206" s="93">
        <f t="shared" si="13"/>
        <v>0</v>
      </c>
      <c r="K206" s="77">
        <f>LARGE($E$2:$E$241,205)</f>
        <v>1.08E-3</v>
      </c>
      <c r="L206" s="67">
        <f t="shared" si="15"/>
        <v>108</v>
      </c>
      <c r="M206" s="85">
        <f t="shared" si="14"/>
        <v>0</v>
      </c>
      <c r="N206" s="39">
        <v>205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</row>
    <row r="207" spans="2:34" ht="17.25" thickTop="1" thickBot="1">
      <c r="B207">
        <f>wyniki!B247</f>
        <v>0</v>
      </c>
      <c r="C207">
        <f>wyniki!N247</f>
        <v>0</v>
      </c>
      <c r="D207">
        <v>2.0600000000000002E-3</v>
      </c>
      <c r="E207" s="17">
        <f t="shared" si="12"/>
        <v>2.0600000000000002E-3</v>
      </c>
      <c r="F207">
        <f>wyniki!$A$245</f>
        <v>0</v>
      </c>
      <c r="G207">
        <f>wyniki!G247</f>
        <v>0</v>
      </c>
      <c r="J207" s="93">
        <f t="shared" si="13"/>
        <v>0</v>
      </c>
      <c r="K207" s="77">
        <f>LARGE($E$2:$E$241,206)</f>
        <v>1.07E-3</v>
      </c>
      <c r="L207" s="67">
        <f t="shared" si="15"/>
        <v>107</v>
      </c>
      <c r="M207" s="85">
        <f t="shared" si="14"/>
        <v>0</v>
      </c>
      <c r="N207" s="39">
        <v>206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</row>
    <row r="208" spans="2:34" ht="17.25" thickTop="1" thickBot="1">
      <c r="B208">
        <f>wyniki!B248</f>
        <v>0</v>
      </c>
      <c r="C208">
        <f>wyniki!N248</f>
        <v>0</v>
      </c>
      <c r="D208">
        <v>2.0699999999999998E-3</v>
      </c>
      <c r="E208" s="17">
        <f t="shared" si="12"/>
        <v>2.0699999999999998E-3</v>
      </c>
      <c r="F208">
        <f>wyniki!$A$245</f>
        <v>0</v>
      </c>
      <c r="G208">
        <f>wyniki!G248</f>
        <v>0</v>
      </c>
      <c r="J208" s="93">
        <f t="shared" si="13"/>
        <v>0</v>
      </c>
      <c r="K208" s="77">
        <f>LARGE($E$2:$E$241,207)</f>
        <v>1.06E-3</v>
      </c>
      <c r="L208" s="67">
        <f t="shared" si="15"/>
        <v>106</v>
      </c>
      <c r="M208" s="85">
        <f t="shared" si="14"/>
        <v>0</v>
      </c>
      <c r="N208" s="39">
        <v>207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</row>
    <row r="209" spans="2:34" ht="17.25" thickTop="1" thickBot="1">
      <c r="B209">
        <f>wyniki!B249</f>
        <v>0</v>
      </c>
      <c r="C209">
        <f>wyniki!N249</f>
        <v>0</v>
      </c>
      <c r="D209">
        <v>2.0799999999999998E-3</v>
      </c>
      <c r="E209" s="17">
        <f t="shared" si="12"/>
        <v>2.0799999999999998E-3</v>
      </c>
      <c r="F209">
        <f>wyniki!$A$245</f>
        <v>0</v>
      </c>
      <c r="G209">
        <f>wyniki!G249</f>
        <v>0</v>
      </c>
      <c r="J209" s="93">
        <f t="shared" si="13"/>
        <v>0</v>
      </c>
      <c r="K209" s="77">
        <f>LARGE($E$2:$E$241,208)</f>
        <v>1.0499999999999999E-3</v>
      </c>
      <c r="L209" s="67">
        <f t="shared" si="15"/>
        <v>105</v>
      </c>
      <c r="M209" s="85">
        <f t="shared" si="14"/>
        <v>0</v>
      </c>
      <c r="N209" s="39">
        <v>208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</row>
    <row r="210" spans="2:34" ht="17.25" thickTop="1" thickBot="1">
      <c r="B210">
        <f>wyniki!B250</f>
        <v>0</v>
      </c>
      <c r="C210">
        <f>wyniki!N250</f>
        <v>0</v>
      </c>
      <c r="D210">
        <v>2.0899999999999998E-3</v>
      </c>
      <c r="E210" s="17">
        <f t="shared" si="12"/>
        <v>2.0899999999999998E-3</v>
      </c>
      <c r="F210">
        <f>wyniki!$A$245</f>
        <v>0</v>
      </c>
      <c r="G210">
        <f>wyniki!G250</f>
        <v>0</v>
      </c>
      <c r="J210" s="93">
        <f t="shared" si="13"/>
        <v>0</v>
      </c>
      <c r="K210" s="77">
        <f>LARGE($E$2:$E$241,209)</f>
        <v>1.0399999999999999E-3</v>
      </c>
      <c r="L210" s="67">
        <f t="shared" si="15"/>
        <v>104</v>
      </c>
      <c r="M210" s="85">
        <f t="shared" si="14"/>
        <v>0</v>
      </c>
      <c r="N210" s="39">
        <v>209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2:34" ht="17.25" thickTop="1" thickBot="1">
      <c r="B211">
        <f>wyniki!B251</f>
        <v>0</v>
      </c>
      <c r="C211">
        <f>wyniki!N251</f>
        <v>0</v>
      </c>
      <c r="D211">
        <v>2.0999999999999999E-3</v>
      </c>
      <c r="E211" s="17">
        <f t="shared" si="12"/>
        <v>2.0999999999999999E-3</v>
      </c>
      <c r="F211">
        <f>wyniki!$A$245</f>
        <v>0</v>
      </c>
      <c r="G211">
        <f>wyniki!G251</f>
        <v>0</v>
      </c>
      <c r="J211" s="93">
        <f t="shared" si="13"/>
        <v>0</v>
      </c>
      <c r="K211" s="77">
        <f>LARGE($E$2:$E$241,210)</f>
        <v>1.0300000000000001E-3</v>
      </c>
      <c r="L211" s="67">
        <f t="shared" si="15"/>
        <v>103</v>
      </c>
      <c r="M211" s="85">
        <f t="shared" si="14"/>
        <v>0</v>
      </c>
      <c r="N211" s="39">
        <v>210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</row>
    <row r="212" spans="2:34" ht="17.25" thickTop="1" thickBot="1">
      <c r="B212">
        <f>wyniki!B253</f>
        <v>0</v>
      </c>
      <c r="C212">
        <f>wyniki!N253</f>
        <v>0</v>
      </c>
      <c r="D212">
        <v>2.1099999999999999E-3</v>
      </c>
      <c r="E212" s="17">
        <f t="shared" si="12"/>
        <v>2.1099999999999999E-3</v>
      </c>
      <c r="F212">
        <f>wyniki!$A$252</f>
        <v>0</v>
      </c>
      <c r="G212">
        <f>wyniki!G253</f>
        <v>0</v>
      </c>
      <c r="J212" s="93">
        <f t="shared" si="13"/>
        <v>0</v>
      </c>
      <c r="K212" s="77">
        <f>LARGE($E$2:$E$241,211)</f>
        <v>1.0200000000000001E-3</v>
      </c>
      <c r="L212" s="67">
        <f t="shared" si="15"/>
        <v>102</v>
      </c>
      <c r="M212" s="85">
        <f t="shared" si="14"/>
        <v>0</v>
      </c>
      <c r="N212" s="39">
        <v>211</v>
      </c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</row>
    <row r="213" spans="2:34" ht="17.25" thickTop="1" thickBot="1">
      <c r="B213">
        <f>wyniki!B254</f>
        <v>0</v>
      </c>
      <c r="C213">
        <f>wyniki!N254</f>
        <v>0</v>
      </c>
      <c r="D213">
        <v>2.1199999999999999E-3</v>
      </c>
      <c r="E213" s="17">
        <f t="shared" si="12"/>
        <v>2.1199999999999999E-3</v>
      </c>
      <c r="F213">
        <f>wyniki!$A$252</f>
        <v>0</v>
      </c>
      <c r="G213">
        <f>wyniki!G254</f>
        <v>0</v>
      </c>
      <c r="J213" s="93">
        <f t="shared" si="13"/>
        <v>0</v>
      </c>
      <c r="K213" s="77">
        <f>LARGE($E$2:$E$241,212)</f>
        <v>1.01E-3</v>
      </c>
      <c r="L213" s="67">
        <f t="shared" si="15"/>
        <v>101</v>
      </c>
      <c r="M213" s="85">
        <f t="shared" si="14"/>
        <v>0</v>
      </c>
      <c r="N213" s="39">
        <v>212</v>
      </c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</row>
    <row r="214" spans="2:34" ht="17.25" thickTop="1" thickBot="1">
      <c r="B214">
        <f>wyniki!B255</f>
        <v>0</v>
      </c>
      <c r="C214">
        <f>wyniki!N255</f>
        <v>0</v>
      </c>
      <c r="D214">
        <v>2.1299999999999999E-3</v>
      </c>
      <c r="E214" s="17">
        <f t="shared" si="12"/>
        <v>2.1299999999999999E-3</v>
      </c>
      <c r="F214">
        <f>wyniki!$A$252</f>
        <v>0</v>
      </c>
      <c r="G214">
        <f>wyniki!G255</f>
        <v>0</v>
      </c>
      <c r="J214" s="93">
        <f t="shared" si="13"/>
        <v>0</v>
      </c>
      <c r="K214" s="77">
        <f>LARGE($E$2:$E$241,213)</f>
        <v>1E-3</v>
      </c>
      <c r="L214" s="67">
        <f t="shared" si="15"/>
        <v>100</v>
      </c>
      <c r="M214" s="85">
        <f t="shared" si="14"/>
        <v>0</v>
      </c>
      <c r="N214" s="39">
        <v>213</v>
      </c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</row>
    <row r="215" spans="2:34" ht="17.25" thickTop="1" thickBot="1">
      <c r="B215">
        <f>wyniki!B256</f>
        <v>0</v>
      </c>
      <c r="C215">
        <f>wyniki!N256</f>
        <v>0</v>
      </c>
      <c r="D215">
        <v>2.14E-3</v>
      </c>
      <c r="E215" s="17">
        <f t="shared" si="12"/>
        <v>2.14E-3</v>
      </c>
      <c r="F215">
        <f>wyniki!$A$252</f>
        <v>0</v>
      </c>
      <c r="G215">
        <f>wyniki!G256</f>
        <v>0</v>
      </c>
      <c r="J215" s="93">
        <f t="shared" si="13"/>
        <v>0</v>
      </c>
      <c r="K215" s="77">
        <f>LARGE($E$2:$E$241,214)</f>
        <v>9.8999999999999999E-4</v>
      </c>
      <c r="L215" s="67">
        <f t="shared" si="15"/>
        <v>99</v>
      </c>
      <c r="M215" s="85">
        <f t="shared" si="14"/>
        <v>0</v>
      </c>
      <c r="N215" s="39">
        <v>214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</row>
    <row r="216" spans="2:34" ht="17.25" thickTop="1" thickBot="1">
      <c r="B216">
        <f>wyniki!B257</f>
        <v>0</v>
      </c>
      <c r="C216">
        <f>wyniki!N257</f>
        <v>0</v>
      </c>
      <c r="D216">
        <v>2.15E-3</v>
      </c>
      <c r="E216" s="17">
        <f t="shared" si="12"/>
        <v>2.15E-3</v>
      </c>
      <c r="F216">
        <f>wyniki!$A$252</f>
        <v>0</v>
      </c>
      <c r="G216">
        <f>wyniki!G257</f>
        <v>0</v>
      </c>
      <c r="J216" s="93">
        <f t="shared" si="13"/>
        <v>0</v>
      </c>
      <c r="K216" s="77">
        <f>LARGE($E$2:$E$241,215)</f>
        <v>9.7999999999999997E-4</v>
      </c>
      <c r="L216" s="67">
        <f t="shared" si="15"/>
        <v>98</v>
      </c>
      <c r="M216" s="85">
        <f t="shared" si="14"/>
        <v>0</v>
      </c>
      <c r="N216" s="39">
        <v>215</v>
      </c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</row>
    <row r="217" spans="2:34" ht="17.25" thickTop="1" thickBot="1">
      <c r="B217">
        <f>wyniki!B258</f>
        <v>0</v>
      </c>
      <c r="C217">
        <f>wyniki!N258</f>
        <v>0</v>
      </c>
      <c r="D217">
        <v>2.16E-3</v>
      </c>
      <c r="E217" s="17">
        <f t="shared" si="12"/>
        <v>2.16E-3</v>
      </c>
      <c r="F217">
        <f>wyniki!$A$252</f>
        <v>0</v>
      </c>
      <c r="G217">
        <f>wyniki!G258</f>
        <v>0</v>
      </c>
      <c r="J217" s="93">
        <f t="shared" si="13"/>
        <v>0</v>
      </c>
      <c r="K217" s="77">
        <f>LARGE($E$2:$E$241,216)</f>
        <v>9.7000000000000005E-4</v>
      </c>
      <c r="L217" s="67">
        <f t="shared" si="15"/>
        <v>97</v>
      </c>
      <c r="M217" s="85">
        <f t="shared" si="14"/>
        <v>0</v>
      </c>
      <c r="N217" s="39">
        <v>216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</row>
    <row r="218" spans="2:34" ht="17.25" thickTop="1" thickBot="1">
      <c r="B218">
        <f>wyniki!B260</f>
        <v>0</v>
      </c>
      <c r="C218">
        <f>wyniki!N260</f>
        <v>0</v>
      </c>
      <c r="D218">
        <v>2.1700000000000001E-3</v>
      </c>
      <c r="E218" s="17">
        <f t="shared" si="12"/>
        <v>2.1700000000000001E-3</v>
      </c>
      <c r="F218">
        <f>wyniki!$A$259</f>
        <v>0</v>
      </c>
      <c r="G218">
        <f>wyniki!G260</f>
        <v>0</v>
      </c>
      <c r="J218" s="93">
        <f t="shared" si="13"/>
        <v>0</v>
      </c>
      <c r="K218" s="77">
        <f>LARGE($E$2:$E$241,217)</f>
        <v>9.6000000000000002E-4</v>
      </c>
      <c r="L218" s="67">
        <f t="shared" si="15"/>
        <v>96</v>
      </c>
      <c r="M218" s="85">
        <f t="shared" si="14"/>
        <v>0</v>
      </c>
      <c r="N218" s="39">
        <v>217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</row>
    <row r="219" spans="2:34" ht="17.25" thickTop="1" thickBot="1">
      <c r="B219">
        <f>wyniki!B261</f>
        <v>0</v>
      </c>
      <c r="C219">
        <f>wyniki!N261</f>
        <v>0</v>
      </c>
      <c r="D219">
        <v>2.1800000000000001E-3</v>
      </c>
      <c r="E219" s="17">
        <f t="shared" si="12"/>
        <v>2.1800000000000001E-3</v>
      </c>
      <c r="F219">
        <f>wyniki!$A$259</f>
        <v>0</v>
      </c>
      <c r="G219">
        <f>wyniki!G261</f>
        <v>0</v>
      </c>
      <c r="J219" s="93">
        <f t="shared" si="13"/>
        <v>0</v>
      </c>
      <c r="K219" s="77">
        <f>LARGE($E$2:$E$241,218)</f>
        <v>9.5E-4</v>
      </c>
      <c r="L219" s="67">
        <f t="shared" si="15"/>
        <v>95</v>
      </c>
      <c r="M219" s="85">
        <f t="shared" si="14"/>
        <v>0</v>
      </c>
      <c r="N219" s="39">
        <v>218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</row>
    <row r="220" spans="2:34" ht="17.25" thickTop="1" thickBot="1">
      <c r="B220">
        <f>wyniki!B262</f>
        <v>0</v>
      </c>
      <c r="C220">
        <f>wyniki!N262</f>
        <v>0</v>
      </c>
      <c r="D220">
        <v>2.1900000000000001E-3</v>
      </c>
      <c r="E220" s="17">
        <f t="shared" si="12"/>
        <v>2.1900000000000001E-3</v>
      </c>
      <c r="F220">
        <f>wyniki!$A$259</f>
        <v>0</v>
      </c>
      <c r="G220">
        <f>wyniki!G262</f>
        <v>0</v>
      </c>
      <c r="J220" s="93">
        <f t="shared" si="13"/>
        <v>0</v>
      </c>
      <c r="K220" s="77">
        <f>LARGE($E$2:$E$241,219)</f>
        <v>9.3999999999999997E-4</v>
      </c>
      <c r="L220" s="67">
        <f t="shared" si="15"/>
        <v>94</v>
      </c>
      <c r="M220" s="85">
        <f t="shared" si="14"/>
        <v>0</v>
      </c>
      <c r="N220" s="39">
        <v>219</v>
      </c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</row>
    <row r="221" spans="2:34" ht="17.25" thickTop="1" thickBot="1">
      <c r="B221">
        <f>wyniki!B263</f>
        <v>0</v>
      </c>
      <c r="C221">
        <f>wyniki!N263</f>
        <v>0</v>
      </c>
      <c r="D221">
        <v>2.2000000000000001E-3</v>
      </c>
      <c r="E221" s="17">
        <f t="shared" si="12"/>
        <v>2.2000000000000001E-3</v>
      </c>
      <c r="F221">
        <f>wyniki!$A$259</f>
        <v>0</v>
      </c>
      <c r="G221">
        <f>wyniki!G263</f>
        <v>0</v>
      </c>
      <c r="J221" s="93">
        <f t="shared" si="13"/>
        <v>0</v>
      </c>
      <c r="K221" s="77">
        <f>LARGE($E$2:$E$241,220)</f>
        <v>9.3000000000000005E-4</v>
      </c>
      <c r="L221" s="67">
        <f t="shared" si="15"/>
        <v>93</v>
      </c>
      <c r="M221" s="85">
        <f t="shared" si="14"/>
        <v>0</v>
      </c>
      <c r="N221" s="39">
        <v>220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spans="2:34" ht="17.25" thickTop="1" thickBot="1">
      <c r="B222">
        <f>wyniki!B264</f>
        <v>0</v>
      </c>
      <c r="C222">
        <f>wyniki!N264</f>
        <v>0</v>
      </c>
      <c r="D222">
        <v>2.2100000000000002E-3</v>
      </c>
      <c r="E222" s="17">
        <f t="shared" si="12"/>
        <v>2.2100000000000002E-3</v>
      </c>
      <c r="F222">
        <f>wyniki!$A$259</f>
        <v>0</v>
      </c>
      <c r="G222">
        <f>wyniki!G264</f>
        <v>0</v>
      </c>
      <c r="J222" s="93">
        <f t="shared" si="13"/>
        <v>0</v>
      </c>
      <c r="K222" s="77">
        <f>LARGE($E$2:$E$241,221)</f>
        <v>9.2000000000000003E-4</v>
      </c>
      <c r="L222" s="67">
        <f t="shared" si="15"/>
        <v>92</v>
      </c>
      <c r="M222" s="85">
        <f t="shared" si="14"/>
        <v>0</v>
      </c>
      <c r="N222" s="39">
        <v>221</v>
      </c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</row>
    <row r="223" spans="2:34" ht="17.25" thickTop="1" thickBot="1">
      <c r="B223">
        <f>wyniki!B265</f>
        <v>0</v>
      </c>
      <c r="C223">
        <f>wyniki!N265</f>
        <v>0</v>
      </c>
      <c r="D223">
        <v>2.2200000000000002E-3</v>
      </c>
      <c r="E223" s="17">
        <f t="shared" si="12"/>
        <v>2.2200000000000002E-3</v>
      </c>
      <c r="F223">
        <f>wyniki!$A$259</f>
        <v>0</v>
      </c>
      <c r="G223">
        <f>wyniki!G265</f>
        <v>0</v>
      </c>
      <c r="J223" s="93">
        <f t="shared" si="13"/>
        <v>0</v>
      </c>
      <c r="K223" s="77">
        <f>LARGE($E$2:$E$241,222)</f>
        <v>9.1E-4</v>
      </c>
      <c r="L223" s="67">
        <f t="shared" si="15"/>
        <v>91</v>
      </c>
      <c r="M223" s="85">
        <f t="shared" si="14"/>
        <v>0</v>
      </c>
      <c r="N223" s="39">
        <v>222</v>
      </c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</row>
    <row r="224" spans="2:34" ht="17.25" thickTop="1" thickBot="1">
      <c r="B224">
        <f>wyniki!B267</f>
        <v>0</v>
      </c>
      <c r="C224">
        <f>wyniki!N267</f>
        <v>0</v>
      </c>
      <c r="D224">
        <v>2.2300000000000002E-3</v>
      </c>
      <c r="E224" s="17">
        <f t="shared" si="12"/>
        <v>2.2300000000000002E-3</v>
      </c>
      <c r="F224">
        <f>wyniki!$A$266</f>
        <v>0</v>
      </c>
      <c r="G224">
        <f>wyniki!G267</f>
        <v>0</v>
      </c>
      <c r="J224" s="93">
        <f t="shared" si="13"/>
        <v>0</v>
      </c>
      <c r="K224" s="77">
        <f>LARGE($E$2:$E$241,223)</f>
        <v>8.9999999999999998E-4</v>
      </c>
      <c r="L224" s="67">
        <f t="shared" si="15"/>
        <v>90</v>
      </c>
      <c r="M224" s="85">
        <f t="shared" si="14"/>
        <v>0</v>
      </c>
      <c r="N224" s="39">
        <v>223</v>
      </c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</row>
    <row r="225" spans="2:34" ht="17.25" thickTop="1" thickBot="1">
      <c r="B225">
        <f>wyniki!B268</f>
        <v>0</v>
      </c>
      <c r="C225">
        <f>wyniki!N268</f>
        <v>0</v>
      </c>
      <c r="D225">
        <v>2.2399999999999998E-3</v>
      </c>
      <c r="E225" s="17">
        <f t="shared" si="12"/>
        <v>2.2399999999999998E-3</v>
      </c>
      <c r="F225">
        <f>wyniki!$A$266</f>
        <v>0</v>
      </c>
      <c r="G225">
        <f>wyniki!G268</f>
        <v>0</v>
      </c>
      <c r="J225" s="93">
        <f t="shared" si="13"/>
        <v>0</v>
      </c>
      <c r="K225" s="77">
        <f>LARGE($E$2:$E$241,224)</f>
        <v>8.8999999999999995E-4</v>
      </c>
      <c r="L225" s="67">
        <f t="shared" si="15"/>
        <v>89</v>
      </c>
      <c r="M225" s="85">
        <f t="shared" si="14"/>
        <v>0</v>
      </c>
      <c r="N225" s="39">
        <v>224</v>
      </c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spans="2:34" ht="17.25" thickTop="1" thickBot="1">
      <c r="B226">
        <f>wyniki!B269</f>
        <v>0</v>
      </c>
      <c r="C226">
        <f>wyniki!N269</f>
        <v>0</v>
      </c>
      <c r="D226">
        <v>2.2499999999999998E-3</v>
      </c>
      <c r="E226" s="17">
        <f t="shared" si="12"/>
        <v>2.2499999999999998E-3</v>
      </c>
      <c r="F226">
        <f>wyniki!$A$266</f>
        <v>0</v>
      </c>
      <c r="G226">
        <f>wyniki!G269</f>
        <v>0</v>
      </c>
      <c r="J226" s="93">
        <f t="shared" si="13"/>
        <v>0</v>
      </c>
      <c r="K226" s="77">
        <f>LARGE($E$2:$E$241,225)</f>
        <v>8.8000000000000003E-4</v>
      </c>
      <c r="L226" s="67">
        <f t="shared" si="15"/>
        <v>88</v>
      </c>
      <c r="M226" s="85">
        <f t="shared" si="14"/>
        <v>0</v>
      </c>
      <c r="N226" s="39">
        <v>225</v>
      </c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</row>
    <row r="227" spans="2:34" ht="17.25" thickTop="1" thickBot="1">
      <c r="B227">
        <f>wyniki!B270</f>
        <v>0</v>
      </c>
      <c r="C227">
        <f>wyniki!N270</f>
        <v>0</v>
      </c>
      <c r="D227">
        <v>2.2599999999999999E-3</v>
      </c>
      <c r="E227" s="17">
        <f t="shared" si="12"/>
        <v>2.2599999999999999E-3</v>
      </c>
      <c r="F227">
        <f>wyniki!$A$266</f>
        <v>0</v>
      </c>
      <c r="G227">
        <f>wyniki!G270</f>
        <v>0</v>
      </c>
      <c r="J227" s="93">
        <f t="shared" si="13"/>
        <v>0</v>
      </c>
      <c r="K227" s="77">
        <f>LARGE($E$2:$E$241,226)</f>
        <v>8.7000000000000001E-4</v>
      </c>
      <c r="L227" s="67">
        <f t="shared" si="15"/>
        <v>87</v>
      </c>
      <c r="M227" s="85">
        <f t="shared" si="14"/>
        <v>0</v>
      </c>
      <c r="N227" s="39">
        <v>226</v>
      </c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spans="2:34" ht="17.25" thickTop="1" thickBot="1">
      <c r="B228">
        <f>wyniki!B271</f>
        <v>0</v>
      </c>
      <c r="C228">
        <f>wyniki!N271</f>
        <v>0</v>
      </c>
      <c r="D228">
        <v>2.2699999999999999E-3</v>
      </c>
      <c r="E228" s="17">
        <f t="shared" si="12"/>
        <v>2.2699999999999999E-3</v>
      </c>
      <c r="F228">
        <f>wyniki!$A$266</f>
        <v>0</v>
      </c>
      <c r="G228">
        <f>wyniki!G271</f>
        <v>0</v>
      </c>
      <c r="J228" s="93">
        <f t="shared" si="13"/>
        <v>0</v>
      </c>
      <c r="K228" s="77">
        <f>LARGE($E$2:$E$241,227)</f>
        <v>8.5999999999999998E-4</v>
      </c>
      <c r="L228" s="67">
        <f t="shared" si="15"/>
        <v>86</v>
      </c>
      <c r="M228" s="85">
        <f t="shared" si="14"/>
        <v>0</v>
      </c>
      <c r="N228" s="39">
        <v>227</v>
      </c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</row>
    <row r="229" spans="2:34" ht="17.25" thickTop="1" thickBot="1">
      <c r="B229">
        <f>wyniki!B272</f>
        <v>0</v>
      </c>
      <c r="C229">
        <f>wyniki!N272</f>
        <v>0</v>
      </c>
      <c r="D229">
        <v>2.2799999999999999E-3</v>
      </c>
      <c r="E229" s="17">
        <f t="shared" si="12"/>
        <v>2.2799999999999999E-3</v>
      </c>
      <c r="F229">
        <f>wyniki!$A$266</f>
        <v>0</v>
      </c>
      <c r="G229">
        <f>wyniki!G272</f>
        <v>0</v>
      </c>
      <c r="J229" s="93">
        <f t="shared" si="13"/>
        <v>0</v>
      </c>
      <c r="K229" s="77">
        <f>LARGE($E$2:$E$241,228)</f>
        <v>8.4999999999999995E-4</v>
      </c>
      <c r="L229" s="67">
        <f t="shared" si="15"/>
        <v>85</v>
      </c>
      <c r="M229" s="85">
        <f t="shared" si="14"/>
        <v>0</v>
      </c>
      <c r="N229" s="39">
        <v>228</v>
      </c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spans="2:34" ht="17.25" thickTop="1" thickBot="1">
      <c r="B230">
        <f>wyniki!B274</f>
        <v>0</v>
      </c>
      <c r="C230">
        <f>wyniki!N274</f>
        <v>0</v>
      </c>
      <c r="D230">
        <v>2.2899999999999999E-3</v>
      </c>
      <c r="E230" s="17">
        <f t="shared" si="12"/>
        <v>2.2899999999999999E-3</v>
      </c>
      <c r="F230">
        <f>wyniki!$A$273</f>
        <v>0</v>
      </c>
      <c r="G230">
        <f>wyniki!G274</f>
        <v>0</v>
      </c>
      <c r="J230" s="93">
        <f t="shared" si="13"/>
        <v>0</v>
      </c>
      <c r="K230" s="77">
        <f>LARGE($E$2:$E$241,229)</f>
        <v>8.4000000000000003E-4</v>
      </c>
      <c r="L230" s="67">
        <f t="shared" si="15"/>
        <v>84</v>
      </c>
      <c r="M230" s="85">
        <f t="shared" si="14"/>
        <v>0</v>
      </c>
      <c r="N230" s="39">
        <v>229</v>
      </c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</row>
    <row r="231" spans="2:34" ht="17.25" thickTop="1" thickBot="1">
      <c r="B231">
        <f>wyniki!B275</f>
        <v>0</v>
      </c>
      <c r="C231">
        <f>wyniki!N275</f>
        <v>0</v>
      </c>
      <c r="D231">
        <v>2.3E-3</v>
      </c>
      <c r="E231" s="17">
        <f t="shared" si="12"/>
        <v>2.3E-3</v>
      </c>
      <c r="F231">
        <f>wyniki!$A$273</f>
        <v>0</v>
      </c>
      <c r="G231">
        <f>wyniki!G275</f>
        <v>0</v>
      </c>
      <c r="J231" s="93">
        <f t="shared" si="13"/>
        <v>0</v>
      </c>
      <c r="K231" s="77">
        <f>LARGE($E$2:$E$241,230)</f>
        <v>8.3000000000000001E-4</v>
      </c>
      <c r="L231" s="67">
        <f t="shared" si="15"/>
        <v>83</v>
      </c>
      <c r="M231" s="85">
        <f t="shared" si="14"/>
        <v>0</v>
      </c>
      <c r="N231" s="39">
        <v>230</v>
      </c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spans="2:34" ht="17.25" thickTop="1" thickBot="1">
      <c r="B232">
        <f>wyniki!B276</f>
        <v>0</v>
      </c>
      <c r="C232">
        <f>wyniki!N276</f>
        <v>0</v>
      </c>
      <c r="D232">
        <v>2.31E-3</v>
      </c>
      <c r="E232" s="17">
        <f t="shared" si="12"/>
        <v>2.31E-3</v>
      </c>
      <c r="F232">
        <f>wyniki!$A$273</f>
        <v>0</v>
      </c>
      <c r="G232">
        <f>wyniki!G276</f>
        <v>0</v>
      </c>
      <c r="J232" s="93">
        <f t="shared" si="13"/>
        <v>0</v>
      </c>
      <c r="K232" s="77">
        <f>LARGE($E$2:$E$241,231)</f>
        <v>8.1999999999999998E-4</v>
      </c>
      <c r="L232" s="67">
        <f t="shared" si="15"/>
        <v>82</v>
      </c>
      <c r="M232" s="85">
        <f t="shared" si="14"/>
        <v>0</v>
      </c>
      <c r="N232" s="39">
        <v>231</v>
      </c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</row>
    <row r="233" spans="2:34" ht="17.25" thickTop="1" thickBot="1">
      <c r="B233">
        <f>wyniki!B277</f>
        <v>0</v>
      </c>
      <c r="C233">
        <f>wyniki!N277</f>
        <v>0</v>
      </c>
      <c r="D233">
        <v>2.32E-3</v>
      </c>
      <c r="E233" s="17">
        <f t="shared" si="12"/>
        <v>2.32E-3</v>
      </c>
      <c r="F233">
        <f>wyniki!$A$273</f>
        <v>0</v>
      </c>
      <c r="G233">
        <f>wyniki!G277</f>
        <v>0</v>
      </c>
      <c r="J233" s="93">
        <f t="shared" si="13"/>
        <v>0</v>
      </c>
      <c r="K233" s="77">
        <f>LARGE($E$2:$E$241,232)</f>
        <v>8.0999999999999996E-4</v>
      </c>
      <c r="L233" s="67">
        <f t="shared" si="15"/>
        <v>81</v>
      </c>
      <c r="M233" s="85">
        <f t="shared" si="14"/>
        <v>0</v>
      </c>
      <c r="N233" s="39">
        <v>232</v>
      </c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2:34" ht="17.25" thickTop="1" thickBot="1">
      <c r="B234">
        <f>wyniki!B278</f>
        <v>0</v>
      </c>
      <c r="C234">
        <f>wyniki!N278</f>
        <v>0</v>
      </c>
      <c r="D234">
        <v>2.33E-3</v>
      </c>
      <c r="E234" s="17">
        <f t="shared" si="12"/>
        <v>2.33E-3</v>
      </c>
      <c r="F234">
        <f>wyniki!$A$273</f>
        <v>0</v>
      </c>
      <c r="G234">
        <f>wyniki!G278</f>
        <v>0</v>
      </c>
      <c r="J234" s="93">
        <f t="shared" si="13"/>
        <v>0</v>
      </c>
      <c r="K234" s="77">
        <f>LARGE($E$2:$E$241,233)</f>
        <v>8.0000000000000004E-4</v>
      </c>
      <c r="L234" s="67">
        <f t="shared" si="15"/>
        <v>80</v>
      </c>
      <c r="M234" s="85">
        <f t="shared" si="14"/>
        <v>0</v>
      </c>
      <c r="N234" s="39">
        <v>233</v>
      </c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</row>
    <row r="235" spans="2:34" ht="17.25" thickTop="1" thickBot="1">
      <c r="B235">
        <f>wyniki!B279</f>
        <v>0</v>
      </c>
      <c r="C235">
        <f>wyniki!N279</f>
        <v>0</v>
      </c>
      <c r="D235">
        <v>2.3400000000000001E-3</v>
      </c>
      <c r="E235" s="17">
        <f t="shared" si="12"/>
        <v>2.3400000000000001E-3</v>
      </c>
      <c r="F235">
        <f>wyniki!$A$273</f>
        <v>0</v>
      </c>
      <c r="G235">
        <f>wyniki!G279</f>
        <v>0</v>
      </c>
      <c r="J235" s="93">
        <f t="shared" si="13"/>
        <v>0</v>
      </c>
      <c r="K235" s="77">
        <f>LARGE($E$2:$E$241,234)</f>
        <v>7.9000000000000001E-4</v>
      </c>
      <c r="L235" s="67">
        <f t="shared" si="15"/>
        <v>79</v>
      </c>
      <c r="M235" s="85">
        <f t="shared" si="14"/>
        <v>0</v>
      </c>
      <c r="N235" s="39">
        <v>234</v>
      </c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spans="2:34" ht="17.25" thickTop="1" thickBot="1">
      <c r="B236">
        <f>wyniki!B281</f>
        <v>0</v>
      </c>
      <c r="C236">
        <f>wyniki!N281</f>
        <v>0</v>
      </c>
      <c r="D236">
        <v>2.3500000000000001E-3</v>
      </c>
      <c r="E236" s="17">
        <f t="shared" si="12"/>
        <v>2.3500000000000001E-3</v>
      </c>
      <c r="F236">
        <f>wyniki!$A$280</f>
        <v>0</v>
      </c>
      <c r="G236">
        <f>wyniki!G281</f>
        <v>0</v>
      </c>
      <c r="J236" s="93">
        <f t="shared" si="13"/>
        <v>0</v>
      </c>
      <c r="K236" s="77">
        <f>LARGE($E$2:$E$241,235)</f>
        <v>7.7999999999999999E-4</v>
      </c>
      <c r="L236" s="67">
        <f t="shared" si="15"/>
        <v>78</v>
      </c>
      <c r="M236" s="85">
        <f t="shared" si="14"/>
        <v>0</v>
      </c>
      <c r="N236" s="39">
        <v>235</v>
      </c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spans="2:34" ht="17.25" thickTop="1" thickBot="1">
      <c r="B237">
        <f>wyniki!B282</f>
        <v>0</v>
      </c>
      <c r="C237">
        <f>wyniki!N282</f>
        <v>0</v>
      </c>
      <c r="D237">
        <v>2.3600000000000001E-3</v>
      </c>
      <c r="E237" s="17">
        <f t="shared" si="12"/>
        <v>2.3600000000000001E-3</v>
      </c>
      <c r="F237">
        <f>wyniki!$A$280</f>
        <v>0</v>
      </c>
      <c r="G237">
        <f>wyniki!G282</f>
        <v>0</v>
      </c>
      <c r="J237" s="93">
        <f t="shared" si="13"/>
        <v>0</v>
      </c>
      <c r="K237" s="77">
        <f>LARGE($E$2:$E$241,236)</f>
        <v>7.6999999999999996E-4</v>
      </c>
      <c r="L237" s="67">
        <f t="shared" si="15"/>
        <v>77</v>
      </c>
      <c r="M237" s="85">
        <f t="shared" si="14"/>
        <v>0</v>
      </c>
      <c r="N237" s="39">
        <v>236</v>
      </c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2:34" ht="17.25" thickTop="1" thickBot="1">
      <c r="B238">
        <f>wyniki!B283</f>
        <v>0</v>
      </c>
      <c r="C238">
        <f>wyniki!N283</f>
        <v>0</v>
      </c>
      <c r="D238">
        <v>2.3700000000000001E-3</v>
      </c>
      <c r="E238" s="17">
        <f t="shared" si="12"/>
        <v>2.3700000000000001E-3</v>
      </c>
      <c r="F238">
        <f>wyniki!$A$280</f>
        <v>0</v>
      </c>
      <c r="G238">
        <f>wyniki!G283</f>
        <v>0</v>
      </c>
      <c r="J238" s="93">
        <f t="shared" si="13"/>
        <v>0</v>
      </c>
      <c r="K238" s="77">
        <f>LARGE($E$2:$E$241,237)</f>
        <v>7.6000000000000004E-4</v>
      </c>
      <c r="L238" s="67">
        <f t="shared" si="15"/>
        <v>76</v>
      </c>
      <c r="M238" s="85">
        <f t="shared" si="14"/>
        <v>0</v>
      </c>
      <c r="N238" s="39">
        <v>237</v>
      </c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spans="2:34" ht="17.25" thickTop="1" thickBot="1">
      <c r="B239">
        <f>wyniki!B284</f>
        <v>0</v>
      </c>
      <c r="C239">
        <f>wyniki!N284</f>
        <v>0</v>
      </c>
      <c r="D239">
        <v>2.3800000000000002E-3</v>
      </c>
      <c r="E239" s="17">
        <f t="shared" si="12"/>
        <v>2.3800000000000002E-3</v>
      </c>
      <c r="F239">
        <f>wyniki!$A$280</f>
        <v>0</v>
      </c>
      <c r="G239">
        <f>wyniki!G284</f>
        <v>0</v>
      </c>
      <c r="J239" s="93">
        <f t="shared" si="13"/>
        <v>0</v>
      </c>
      <c r="K239" s="77">
        <f>LARGE($E$2:$E$241,238)</f>
        <v>7.5000000000000002E-4</v>
      </c>
      <c r="L239" s="67">
        <f t="shared" si="15"/>
        <v>75</v>
      </c>
      <c r="M239" s="85">
        <f t="shared" si="14"/>
        <v>0</v>
      </c>
      <c r="N239" s="39">
        <v>238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spans="2:34" ht="17.25" thickTop="1" thickBot="1">
      <c r="B240">
        <f>wyniki!B285</f>
        <v>0</v>
      </c>
      <c r="C240">
        <f>wyniki!N285</f>
        <v>0</v>
      </c>
      <c r="D240">
        <v>2.3900000000000002E-3</v>
      </c>
      <c r="E240" s="17">
        <f t="shared" si="12"/>
        <v>2.3900000000000002E-3</v>
      </c>
      <c r="F240">
        <f>wyniki!$A$280</f>
        <v>0</v>
      </c>
      <c r="G240">
        <f>wyniki!G285</f>
        <v>0</v>
      </c>
      <c r="J240" s="93">
        <f t="shared" si="13"/>
        <v>0</v>
      </c>
      <c r="K240" s="77">
        <f>LARGE($E$2:$E$241,239)</f>
        <v>7.3999999999999999E-4</v>
      </c>
      <c r="L240" s="67">
        <f t="shared" si="15"/>
        <v>74</v>
      </c>
      <c r="M240" s="85">
        <f t="shared" si="14"/>
        <v>0</v>
      </c>
      <c r="N240" s="39">
        <v>239</v>
      </c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</row>
    <row r="241" spans="2:34" ht="17.25" thickTop="1" thickBot="1">
      <c r="B241">
        <f>wyniki!B286</f>
        <v>0</v>
      </c>
      <c r="C241">
        <f>wyniki!N286</f>
        <v>0</v>
      </c>
      <c r="D241">
        <v>2.3999999999999998E-3</v>
      </c>
      <c r="E241" s="17">
        <f t="shared" si="12"/>
        <v>2.3999999999999998E-3</v>
      </c>
      <c r="F241">
        <f>wyniki!$A$280</f>
        <v>0</v>
      </c>
      <c r="G241">
        <f>wyniki!G286</f>
        <v>0</v>
      </c>
      <c r="J241" s="93">
        <f t="shared" si="13"/>
        <v>0</v>
      </c>
      <c r="K241" s="77">
        <f>LARGE($E$2:$E$241,240)</f>
        <v>7.2999999999999996E-4</v>
      </c>
      <c r="L241" s="67">
        <f t="shared" si="15"/>
        <v>73</v>
      </c>
      <c r="M241" s="85">
        <f t="shared" si="14"/>
        <v>0</v>
      </c>
      <c r="N241" s="39">
        <v>240</v>
      </c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2:34" ht="13.5" thickTop="1">
      <c r="K242" s="78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</row>
    <row r="243" spans="2:34">
      <c r="K243" s="78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spans="2:34">
      <c r="K244" s="78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</row>
    <row r="245" spans="2:34">
      <c r="K245" s="78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</row>
    <row r="246" spans="2:34">
      <c r="K246" s="78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2:34">
      <c r="K247" s="78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2:34">
      <c r="K248" s="78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2:34">
      <c r="K249" s="78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2:34">
      <c r="K250" s="78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  <row r="251" spans="2:34">
      <c r="K251" s="78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spans="2:34">
      <c r="K252" s="78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</row>
    <row r="253" spans="2:34">
      <c r="K253" s="78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</row>
    <row r="254" spans="2:34">
      <c r="K254" s="78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</row>
    <row r="255" spans="2:34">
      <c r="K255" s="78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</row>
    <row r="256" spans="2:34">
      <c r="K256" s="78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spans="11:34">
      <c r="K257" s="78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</row>
    <row r="258" spans="11:34">
      <c r="K258" s="78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spans="11:34">
      <c r="K259" s="78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</row>
    <row r="260" spans="11:34">
      <c r="K260" s="78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spans="11:34">
      <c r="K261" s="78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</row>
    <row r="262" spans="11:34">
      <c r="K262" s="78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spans="11:34">
      <c r="K263" s="78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</row>
    <row r="264" spans="11:34">
      <c r="K264" s="78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spans="11:34">
      <c r="K265" s="78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</row>
    <row r="266" spans="11:34">
      <c r="K266" s="78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spans="11:34">
      <c r="K267" s="78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</row>
    <row r="268" spans="11:34">
      <c r="K268" s="78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11:34">
      <c r="K269" s="78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</row>
    <row r="270" spans="11:34">
      <c r="K270" s="78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spans="11:34">
      <c r="K271" s="78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</row>
    <row r="272" spans="11:34">
      <c r="K272" s="78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spans="11:34">
      <c r="K273" s="78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</row>
    <row r="274" spans="11:34">
      <c r="K274" s="78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spans="11:34">
      <c r="K275" s="78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</row>
    <row r="276" spans="11:34">
      <c r="K276" s="78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spans="11:34">
      <c r="K277" s="78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spans="11:34">
      <c r="K278" s="78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spans="11:34">
      <c r="K279" s="78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</row>
    <row r="280" spans="11:34">
      <c r="K280" s="78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</row>
    <row r="281" spans="11:34">
      <c r="K281" s="78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spans="11:34">
      <c r="K282" s="78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</row>
    <row r="283" spans="11:34">
      <c r="K283" s="78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</row>
    <row r="284" spans="11:34">
      <c r="K284" s="78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</row>
    <row r="285" spans="11:34">
      <c r="K285" s="78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</row>
    <row r="286" spans="11:34">
      <c r="K286" s="78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</row>
    <row r="287" spans="11:34">
      <c r="K287" s="78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spans="11:34">
      <c r="K288" s="78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</row>
    <row r="289" spans="11:34">
      <c r="K289" s="78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spans="11:34">
      <c r="K290" s="78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spans="11:34">
      <c r="K291" s="78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spans="11:34">
      <c r="K292" s="78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spans="11:34">
      <c r="K293" s="78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1:34">
      <c r="K294" s="78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</row>
    <row r="295" spans="11:34">
      <c r="K295" s="78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1:34">
      <c r="K296" s="78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</row>
    <row r="297" spans="11:34">
      <c r="K297" s="78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spans="11:34">
      <c r="K298" s="78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spans="11:34">
      <c r="K299" s="78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spans="11:34">
      <c r="K300" s="78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</row>
    <row r="301" spans="11:34">
      <c r="K301" s="78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spans="11:34">
      <c r="K302" s="78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</row>
    <row r="303" spans="11:34">
      <c r="K303" s="78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spans="11:34">
      <c r="K304" s="78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</row>
    <row r="305" spans="11:34">
      <c r="K305" s="78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spans="11:34">
      <c r="K306" s="78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spans="11:34">
      <c r="K307" s="78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</row>
    <row r="308" spans="11:34">
      <c r="K308" s="78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</row>
    <row r="309" spans="11:34">
      <c r="K309" s="78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spans="11:34">
      <c r="K310" s="78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</row>
    <row r="311" spans="11:34">
      <c r="K311" s="78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spans="11:34">
      <c r="K312" s="78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spans="11:34">
      <c r="K313" s="78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spans="11:34">
      <c r="K314" s="78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spans="11:34">
      <c r="K315" s="78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spans="11:34">
      <c r="K316" s="78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spans="11:34">
      <c r="K317" s="78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11:34">
      <c r="K318" s="78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11:34">
      <c r="K319" s="78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</row>
    <row r="320" spans="11:34">
      <c r="K320" s="78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spans="11:34">
      <c r="K321" s="78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</row>
    <row r="322" spans="11:34">
      <c r="K322" s="78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spans="11:34">
      <c r="K323" s="78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</row>
    <row r="324" spans="11:34">
      <c r="K324" s="78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spans="11:34">
      <c r="K325" s="78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</row>
    <row r="326" spans="11:34">
      <c r="K326" s="78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spans="11:34">
      <c r="K327" s="78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</row>
    <row r="328" spans="11:34">
      <c r="K328" s="78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spans="11:34">
      <c r="K329" s="78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</row>
    <row r="330" spans="11:34">
      <c r="K330" s="78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spans="11:34">
      <c r="K331" s="78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</row>
    <row r="332" spans="11:34">
      <c r="K332" s="78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spans="11:34">
      <c r="K333" s="78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spans="11:34">
      <c r="K334" s="78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spans="11:34">
      <c r="K335" s="78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spans="11:34">
      <c r="K336" s="78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11:34">
      <c r="K337" s="78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</row>
    <row r="338" spans="11:34">
      <c r="K338" s="78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spans="11:34">
      <c r="K339" s="78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</row>
    <row r="340" spans="11:34">
      <c r="K340" s="78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spans="11:34">
      <c r="K341" s="78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spans="11:34">
      <c r="K342" s="78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</row>
    <row r="343" spans="11:34">
      <c r="K343" s="78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</row>
    <row r="344" spans="11:34">
      <c r="K344" s="78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</row>
    <row r="345" spans="11:34">
      <c r="K345" s="78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</row>
    <row r="346" spans="11:34">
      <c r="K346" s="78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</row>
    <row r="347" spans="11:34">
      <c r="K347" s="78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</row>
    <row r="348" spans="11:34">
      <c r="K348" s="78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</row>
    <row r="349" spans="11:34">
      <c r="K349" s="78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</row>
    <row r="350" spans="11:34">
      <c r="K350" s="78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</row>
    <row r="351" spans="11:34">
      <c r="K351" s="78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</row>
    <row r="352" spans="11:34">
      <c r="K352" s="78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</row>
    <row r="353" spans="11:34">
      <c r="K353" s="78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</row>
    <row r="354" spans="11:34">
      <c r="K354" s="78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</row>
    <row r="355" spans="11:34">
      <c r="K355" s="78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</row>
    <row r="356" spans="11:34">
      <c r="K356" s="78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</row>
    <row r="357" spans="11:34">
      <c r="K357" s="78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</row>
    <row r="358" spans="11:34">
      <c r="K358" s="78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</row>
    <row r="359" spans="11:34">
      <c r="K359" s="78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</row>
    <row r="360" spans="11:34">
      <c r="K360" s="78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</row>
    <row r="361" spans="11:34">
      <c r="K361" s="78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</row>
    <row r="362" spans="11:34">
      <c r="K362" s="78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</row>
    <row r="363" spans="11:34">
      <c r="K363" s="78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</row>
    <row r="364" spans="11:34">
      <c r="K364" s="78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</row>
    <row r="365" spans="11:34">
      <c r="K365" s="78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</row>
    <row r="366" spans="11:34">
      <c r="K366" s="78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</row>
    <row r="367" spans="11:34">
      <c r="K367" s="78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</row>
    <row r="368" spans="11:34">
      <c r="K368" s="78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</row>
    <row r="369" spans="11:34">
      <c r="K369" s="78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</row>
    <row r="370" spans="11:34">
      <c r="K370" s="78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</row>
    <row r="371" spans="11:34">
      <c r="K371" s="78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</row>
    <row r="372" spans="11:34">
      <c r="K372" s="78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</row>
    <row r="373" spans="11:34">
      <c r="K373" s="78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</row>
    <row r="374" spans="11:34">
      <c r="K374" s="78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</row>
    <row r="375" spans="11:34">
      <c r="K375" s="78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</row>
    <row r="376" spans="11:34">
      <c r="K376" s="78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</row>
    <row r="377" spans="11:34">
      <c r="K377" s="78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</row>
    <row r="378" spans="11:34">
      <c r="K378" s="78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</row>
    <row r="379" spans="11:34">
      <c r="K379" s="78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</row>
    <row r="380" spans="11:34">
      <c r="K380" s="78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</row>
    <row r="381" spans="11:34">
      <c r="K381" s="78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</row>
    <row r="382" spans="11:34">
      <c r="K382" s="78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</row>
    <row r="383" spans="11:34">
      <c r="K383" s="78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</row>
    <row r="384" spans="11:34">
      <c r="K384" s="78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</row>
    <row r="385" spans="11:34">
      <c r="K385" s="78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</row>
    <row r="386" spans="11:34">
      <c r="K386" s="78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</row>
    <row r="387" spans="11:34">
      <c r="K387" s="78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</row>
    <row r="388" spans="11:34">
      <c r="K388" s="78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</row>
    <row r="389" spans="11:34">
      <c r="K389" s="78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</row>
    <row r="390" spans="11:34">
      <c r="K390" s="78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</row>
    <row r="391" spans="11:34">
      <c r="K391" s="78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</row>
    <row r="392" spans="11:34">
      <c r="K392" s="78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</row>
    <row r="393" spans="11:34">
      <c r="K393" s="78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</row>
    <row r="394" spans="11:34">
      <c r="K394" s="78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</row>
    <row r="395" spans="11:34">
      <c r="K395" s="78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</row>
    <row r="396" spans="11:34">
      <c r="K396" s="78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</row>
    <row r="397" spans="11:34">
      <c r="K397" s="78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</row>
    <row r="398" spans="11:34">
      <c r="K398" s="78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</row>
    <row r="399" spans="11:34">
      <c r="K399" s="78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</row>
    <row r="400" spans="11:34">
      <c r="K400" s="78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</row>
    <row r="401" spans="11:34">
      <c r="K401" s="78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</row>
    <row r="402" spans="11:34">
      <c r="K402" s="78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</row>
    <row r="403" spans="11:34">
      <c r="K403" s="78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</row>
    <row r="404" spans="11:34">
      <c r="K404" s="78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</row>
    <row r="405" spans="11:34">
      <c r="K405" s="78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</row>
    <row r="406" spans="11:34">
      <c r="K406" s="78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</row>
    <row r="407" spans="11:34">
      <c r="K407" s="78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</row>
    <row r="408" spans="11:34">
      <c r="K408" s="78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</row>
    <row r="409" spans="11:34">
      <c r="K409" s="78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</row>
    <row r="410" spans="11:34">
      <c r="K410" s="78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</row>
    <row r="411" spans="11:34">
      <c r="K411" s="78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</row>
    <row r="412" spans="11:34">
      <c r="K412" s="78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</row>
    <row r="413" spans="11:34">
      <c r="K413" s="78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</row>
    <row r="414" spans="11:34">
      <c r="K414" s="78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</row>
    <row r="415" spans="11:34">
      <c r="K415" s="78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</row>
    <row r="416" spans="11:34">
      <c r="K416" s="78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</row>
    <row r="417" spans="11:34">
      <c r="K417" s="78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</row>
    <row r="418" spans="11:34">
      <c r="K418" s="78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</row>
    <row r="419" spans="11:34">
      <c r="K419" s="78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</row>
    <row r="420" spans="11:34">
      <c r="K420" s="78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</row>
    <row r="421" spans="11:34">
      <c r="K421" s="78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</row>
    <row r="422" spans="11:34">
      <c r="K422" s="78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</row>
    <row r="423" spans="11:34">
      <c r="K423" s="78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</row>
    <row r="424" spans="11:34">
      <c r="K424" s="78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</row>
    <row r="425" spans="11:34">
      <c r="K425" s="78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</row>
    <row r="426" spans="11:34">
      <c r="K426" s="78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</row>
    <row r="427" spans="11:34">
      <c r="K427" s="78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</row>
    <row r="428" spans="11:34">
      <c r="K428" s="78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</row>
    <row r="429" spans="11:34">
      <c r="K429" s="78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</row>
    <row r="430" spans="11:34">
      <c r="K430" s="78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</row>
    <row r="431" spans="11:34">
      <c r="K431" s="78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</row>
    <row r="432" spans="11:34">
      <c r="K432" s="78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</row>
    <row r="433" spans="11:34">
      <c r="K433" s="78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</row>
    <row r="434" spans="11:34">
      <c r="K434" s="78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</row>
    <row r="435" spans="11:34">
      <c r="K435" s="78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</row>
    <row r="436" spans="11:34">
      <c r="K436" s="78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</row>
    <row r="437" spans="11:34">
      <c r="K437" s="78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</row>
    <row r="438" spans="11:34">
      <c r="K438" s="78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</row>
    <row r="439" spans="11:34">
      <c r="K439" s="78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</row>
    <row r="440" spans="11:34">
      <c r="K440" s="78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</row>
    <row r="441" spans="11:34">
      <c r="K441" s="78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</row>
    <row r="442" spans="11:34">
      <c r="K442" s="78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</row>
    <row r="443" spans="11:34">
      <c r="K443" s="78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</row>
    <row r="444" spans="11:34">
      <c r="K444" s="78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</row>
    <row r="445" spans="11:34">
      <c r="K445" s="78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</row>
    <row r="446" spans="11:34">
      <c r="K446" s="78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</row>
    <row r="447" spans="11:34">
      <c r="K447" s="78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</row>
    <row r="448" spans="11:34">
      <c r="K448" s="78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</row>
    <row r="449" spans="11:34">
      <c r="K449" s="78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</row>
    <row r="450" spans="11:34">
      <c r="K450" s="78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</row>
    <row r="451" spans="11:34">
      <c r="K451" s="78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</row>
    <row r="452" spans="11:34">
      <c r="K452" s="78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</row>
    <row r="453" spans="11:34">
      <c r="K453" s="78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</row>
    <row r="454" spans="11:34">
      <c r="K454" s="78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</row>
    <row r="455" spans="11:34">
      <c r="K455" s="78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</row>
    <row r="456" spans="11:34">
      <c r="K456" s="78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</row>
    <row r="457" spans="11:34">
      <c r="K457" s="78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</row>
    <row r="458" spans="11:34">
      <c r="K458" s="78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</row>
    <row r="459" spans="11:34">
      <c r="K459" s="78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</row>
    <row r="460" spans="11:34">
      <c r="K460" s="78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</row>
    <row r="461" spans="11:34">
      <c r="K461" s="78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</row>
    <row r="462" spans="11:34">
      <c r="K462" s="78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</row>
    <row r="463" spans="11:34">
      <c r="K463" s="78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</row>
    <row r="464" spans="11:34">
      <c r="K464" s="78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</row>
    <row r="465" spans="11:34">
      <c r="K465" s="78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</row>
    <row r="466" spans="11:34">
      <c r="K466" s="78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</row>
    <row r="467" spans="11:34">
      <c r="K467" s="78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</row>
    <row r="468" spans="11:34">
      <c r="K468" s="78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</row>
    <row r="469" spans="11:34">
      <c r="K469" s="78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</row>
    <row r="470" spans="11:34">
      <c r="K470" s="78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</row>
    <row r="471" spans="11:34">
      <c r="K471" s="78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</row>
    <row r="472" spans="11:34">
      <c r="K472" s="78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</row>
    <row r="473" spans="11:34">
      <c r="K473" s="78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</row>
    <row r="474" spans="11:34">
      <c r="K474" s="78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</row>
    <row r="475" spans="11:34">
      <c r="K475" s="78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</row>
    <row r="476" spans="11:34">
      <c r="K476" s="78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</row>
    <row r="477" spans="11:34">
      <c r="K477" s="78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</row>
    <row r="478" spans="11:34">
      <c r="K478" s="78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</row>
    <row r="479" spans="11:34">
      <c r="K479" s="78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</row>
    <row r="480" spans="11:34">
      <c r="K480" s="78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</row>
    <row r="481" spans="11:34">
      <c r="K481" s="78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</row>
    <row r="482" spans="11:34">
      <c r="K482" s="78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</row>
    <row r="483" spans="11:34">
      <c r="K483" s="78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</row>
    <row r="484" spans="11:34">
      <c r="K484" s="78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</row>
    <row r="485" spans="11:34">
      <c r="K485" s="78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</row>
    <row r="486" spans="11:34">
      <c r="K486" s="78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</row>
    <row r="487" spans="11:34">
      <c r="K487" s="78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</row>
    <row r="488" spans="11:34">
      <c r="K488" s="78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</row>
    <row r="489" spans="11:34">
      <c r="K489" s="78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</row>
    <row r="490" spans="11:34">
      <c r="K490" s="78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</row>
    <row r="491" spans="11:34">
      <c r="K491" s="78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</row>
    <row r="492" spans="11:34">
      <c r="K492" s="78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</row>
    <row r="493" spans="11:34">
      <c r="K493" s="78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</row>
    <row r="494" spans="11:34">
      <c r="K494" s="78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</row>
    <row r="495" spans="11:34">
      <c r="K495" s="78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</row>
    <row r="496" spans="11:34">
      <c r="K496" s="78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</row>
    <row r="497" spans="11:34">
      <c r="K497" s="78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</row>
    <row r="498" spans="11:34">
      <c r="K498" s="78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</row>
    <row r="499" spans="11:34">
      <c r="K499" s="78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</row>
    <row r="500" spans="11:34">
      <c r="K500" s="78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</row>
    <row r="501" spans="11:34">
      <c r="K501" s="78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</row>
    <row r="502" spans="11:34">
      <c r="K502" s="78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</row>
    <row r="503" spans="11:34">
      <c r="K503" s="78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</row>
    <row r="504" spans="11:34">
      <c r="K504" s="78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</row>
    <row r="505" spans="11:34">
      <c r="K505" s="78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</row>
    <row r="506" spans="11:34">
      <c r="K506" s="78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</row>
    <row r="507" spans="11:34">
      <c r="K507" s="78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</row>
    <row r="508" spans="11:34">
      <c r="K508" s="78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</row>
    <row r="509" spans="11:34">
      <c r="K509" s="78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</row>
    <row r="510" spans="11:34">
      <c r="K510" s="78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</row>
    <row r="511" spans="11:34">
      <c r="K511" s="78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</row>
    <row r="512" spans="11:34">
      <c r="K512" s="78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</row>
    <row r="513" spans="11:34">
      <c r="K513" s="78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</row>
    <row r="514" spans="11:34">
      <c r="K514" s="78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</row>
    <row r="515" spans="11:34">
      <c r="K515" s="78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</row>
    <row r="516" spans="11:34">
      <c r="K516" s="78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</row>
    <row r="517" spans="11:34">
      <c r="K517" s="78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</row>
    <row r="518" spans="11:34">
      <c r="K518" s="78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</row>
    <row r="519" spans="11:34">
      <c r="K519" s="78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</row>
    <row r="520" spans="11:34">
      <c r="K520" s="78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</row>
    <row r="521" spans="11:34">
      <c r="K521" s="78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</row>
    <row r="522" spans="11:34">
      <c r="K522" s="78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</row>
    <row r="523" spans="11:34">
      <c r="K523" s="78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</row>
    <row r="524" spans="11:34">
      <c r="K524" s="78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</row>
    <row r="525" spans="11:34">
      <c r="K525" s="78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</row>
  </sheetData>
  <autoFilter ref="J1:N1"/>
  <phoneticPr fontId="3" type="noConversion"/>
  <pageMargins left="0.75" right="0.75" top="1" bottom="1" header="0.5" footer="0.5"/>
  <pageSetup paperSize="9" scale="82" orientation="portrait" horizontalDpi="4294967294" r:id="rId1"/>
  <headerFooter alignWithMargins="0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A138"/>
  <sheetViews>
    <sheetView showGridLines="0" zoomScaleNormal="100" zoomScaleSheetLayoutView="100" workbookViewId="0">
      <selection activeCell="G1" sqref="G1"/>
    </sheetView>
  </sheetViews>
  <sheetFormatPr defaultRowHeight="12.75"/>
  <cols>
    <col min="1" max="1" width="10.7109375" customWidth="1"/>
    <col min="2" max="2" width="9.140625" hidden="1" customWidth="1"/>
    <col min="3" max="3" width="9.140625" style="18" hidden="1" customWidth="1"/>
    <col min="4" max="5" width="9.140625" hidden="1" customWidth="1"/>
    <col min="6" max="6" width="31.42578125" customWidth="1"/>
    <col min="7" max="7" width="11.42578125" style="50" bestFit="1" customWidth="1"/>
    <col min="8" max="8" width="12.5703125" style="81" bestFit="1" customWidth="1"/>
    <col min="9" max="9" width="3" style="3" hidden="1" customWidth="1"/>
    <col min="10" max="10" width="33.28515625" style="87" customWidth="1"/>
    <col min="11" max="14" width="0" style="31" hidden="1" customWidth="1"/>
    <col min="15" max="15" width="4.5703125" style="33" bestFit="1" customWidth="1"/>
    <col min="16" max="17" width="9.140625" style="33"/>
    <col min="18" max="18" width="5.28515625" style="33" bestFit="1" customWidth="1"/>
    <col min="19" max="20" width="9.140625" style="33"/>
  </cols>
  <sheetData>
    <row r="1" spans="2:27" ht="19.5" thickTop="1" thickBot="1">
      <c r="C1"/>
      <c r="G1" s="66" t="s">
        <v>1722</v>
      </c>
      <c r="H1" s="65" t="s">
        <v>1723</v>
      </c>
      <c r="I1" s="66"/>
      <c r="J1" s="95" t="s">
        <v>1721</v>
      </c>
      <c r="K1" s="30"/>
      <c r="L1" s="30"/>
      <c r="M1" s="30"/>
      <c r="N1" s="30"/>
      <c r="O1" s="32"/>
      <c r="P1" s="32"/>
      <c r="Q1" s="32"/>
      <c r="R1" s="32"/>
      <c r="S1" s="32"/>
      <c r="T1" s="32"/>
      <c r="U1" s="20"/>
      <c r="V1" s="20"/>
      <c r="W1" s="20"/>
      <c r="X1" s="20"/>
      <c r="Y1" s="20"/>
      <c r="Z1" s="20"/>
      <c r="AA1" s="20"/>
    </row>
    <row r="2" spans="2:27" ht="17.25" thickTop="1" thickBot="1">
      <c r="B2">
        <f>wyniki!O12</f>
        <v>959</v>
      </c>
      <c r="C2">
        <v>1.0000000000000001E-5</v>
      </c>
      <c r="D2">
        <f>B2+C2</f>
        <v>959.00000999999997</v>
      </c>
      <c r="E2" t="str">
        <f>wyniki!A7</f>
        <v>SP14 Warszawa</v>
      </c>
      <c r="G2" s="39">
        <v>1</v>
      </c>
      <c r="H2" s="77">
        <f>LARGE($D$2:$D$41,1)</f>
        <v>1141.00009</v>
      </c>
      <c r="I2" s="69">
        <f>MATCH(H2,$D$2:$D$41,0)</f>
        <v>9</v>
      </c>
      <c r="J2" s="85" t="str">
        <f>INDEX($D$2:$E$41,I2,2)</f>
        <v>SP Podkowa Leśna</v>
      </c>
      <c r="K2" s="30"/>
      <c r="L2" s="30" t="s">
        <v>1703</v>
      </c>
      <c r="M2" s="30" t="e">
        <f>MATCH(L2,wyniki!$A:$A,0)+1</f>
        <v>#N/A</v>
      </c>
      <c r="N2" s="30">
        <v>8</v>
      </c>
      <c r="O2" s="121" t="s">
        <v>1710</v>
      </c>
      <c r="P2" s="121" t="s">
        <v>1709</v>
      </c>
      <c r="Q2" s="121"/>
      <c r="R2" s="121" t="s">
        <v>1708</v>
      </c>
      <c r="S2" s="121" t="s">
        <v>1724</v>
      </c>
      <c r="T2" s="32"/>
      <c r="U2" s="20"/>
      <c r="V2" s="20"/>
      <c r="W2" s="20"/>
      <c r="X2" s="20"/>
      <c r="Y2" s="20"/>
      <c r="Z2" s="20"/>
      <c r="AA2" s="20"/>
    </row>
    <row r="3" spans="2:27" ht="17.25" thickTop="1" thickBot="1">
      <c r="B3">
        <f>wyniki!O19</f>
        <v>1136</v>
      </c>
      <c r="C3">
        <v>2.0000000000000002E-5</v>
      </c>
      <c r="D3">
        <f t="shared" ref="D3:D41" si="0">B3+C3</f>
        <v>1136.0000199999999</v>
      </c>
      <c r="E3" t="str">
        <f>wyniki!A14</f>
        <v>SP204 Warszawa</v>
      </c>
      <c r="G3" s="39">
        <v>2</v>
      </c>
      <c r="H3" s="77">
        <f>LARGE($D$2:$D$41,2)</f>
        <v>1136.0000199999999</v>
      </c>
      <c r="I3" s="69">
        <f t="shared" ref="I3:I41" si="1">MATCH(H3,$D$2:$D$41,0)</f>
        <v>2</v>
      </c>
      <c r="J3" s="85" t="str">
        <f t="shared" ref="J3:J41" si="2">INDEX($D$2:$E$41,I3,2)</f>
        <v>SP204 Warszawa</v>
      </c>
      <c r="K3" s="30"/>
      <c r="L3" s="30">
        <v>0</v>
      </c>
      <c r="M3" s="30">
        <f>MATCH(L3,wyniki!$A:$A,0)+1</f>
        <v>92</v>
      </c>
      <c r="N3" s="30">
        <v>15</v>
      </c>
      <c r="O3" s="121"/>
      <c r="P3" s="121"/>
      <c r="Q3" s="121"/>
      <c r="R3" s="121"/>
      <c r="S3" s="121"/>
      <c r="T3" s="32"/>
      <c r="U3" s="20"/>
      <c r="V3" s="20"/>
      <c r="W3" s="20"/>
      <c r="X3" s="20"/>
      <c r="Y3" s="20"/>
      <c r="Z3" s="20"/>
      <c r="AA3" s="20"/>
    </row>
    <row r="4" spans="2:27" ht="17.25" thickTop="1" thickBot="1">
      <c r="B4">
        <f>wyniki!O26</f>
        <v>869</v>
      </c>
      <c r="C4">
        <v>3.0000000000000001E-5</v>
      </c>
      <c r="D4">
        <f t="shared" si="0"/>
        <v>869.00003000000004</v>
      </c>
      <c r="E4" t="str">
        <f>wyniki!A21</f>
        <v>PSP 2 Radom</v>
      </c>
      <c r="G4" s="39">
        <v>3</v>
      </c>
      <c r="H4" s="77">
        <f>LARGE($D$2:$D$41,3)</f>
        <v>1124.00008</v>
      </c>
      <c r="I4" s="69">
        <f t="shared" si="1"/>
        <v>8</v>
      </c>
      <c r="J4" s="85" t="str">
        <f t="shared" si="2"/>
        <v>SP11 Siedlce</v>
      </c>
      <c r="K4" s="30"/>
      <c r="L4" s="30">
        <v>0</v>
      </c>
      <c r="M4" s="30">
        <f>MATCH(L4,wyniki!$A:$A,0)+1</f>
        <v>92</v>
      </c>
      <c r="N4" s="30">
        <v>15</v>
      </c>
      <c r="O4" s="121"/>
      <c r="P4" s="121"/>
      <c r="Q4" s="121"/>
      <c r="R4" s="121"/>
      <c r="S4" s="121"/>
      <c r="T4" s="32"/>
      <c r="U4" s="20"/>
      <c r="V4" s="20"/>
      <c r="W4" s="20"/>
      <c r="X4" s="20"/>
      <c r="Y4" s="20"/>
      <c r="Z4" s="20"/>
      <c r="AA4" s="20"/>
    </row>
    <row r="5" spans="2:27" ht="17.25" thickTop="1" thickBot="1">
      <c r="B5">
        <f>wyniki!O33</f>
        <v>886</v>
      </c>
      <c r="C5">
        <v>4.0000000000000003E-5</v>
      </c>
      <c r="D5">
        <f t="shared" si="0"/>
        <v>886.00004000000001</v>
      </c>
      <c r="E5" t="str">
        <f>wyniki!A28</f>
        <v>SP2 Ostrów Maz.</v>
      </c>
      <c r="G5" s="39">
        <v>4</v>
      </c>
      <c r="H5" s="77">
        <f>LARGE($D$2:$D$41,4)</f>
        <v>1060.0000700000001</v>
      </c>
      <c r="I5" s="69">
        <f t="shared" si="1"/>
        <v>7</v>
      </c>
      <c r="J5" s="85" t="str">
        <f t="shared" si="2"/>
        <v>SP2 Węgrów</v>
      </c>
      <c r="K5" s="30"/>
      <c r="L5" s="30">
        <v>0</v>
      </c>
      <c r="M5" s="30">
        <f>MATCH(L5,wyniki!$A:$A,0)+1</f>
        <v>92</v>
      </c>
      <c r="N5" s="30">
        <v>15</v>
      </c>
      <c r="O5" s="121"/>
      <c r="P5" s="121"/>
      <c r="Q5" s="121"/>
      <c r="R5" s="121"/>
      <c r="S5" s="121"/>
      <c r="T5" s="32"/>
      <c r="U5" s="20"/>
      <c r="V5" s="20"/>
      <c r="W5" s="20"/>
      <c r="X5" s="20"/>
      <c r="Y5" s="20"/>
      <c r="Z5" s="20"/>
      <c r="AA5" s="20"/>
    </row>
    <row r="6" spans="2:27" ht="17.25" thickTop="1" thickBot="1">
      <c r="B6">
        <f>wyniki!O40</f>
        <v>1033</v>
      </c>
      <c r="C6">
        <v>5.0000000000000002E-5</v>
      </c>
      <c r="D6">
        <f t="shared" si="0"/>
        <v>1033.0000500000001</v>
      </c>
      <c r="E6" t="str">
        <f>wyniki!A35</f>
        <v>SP2 Chorzele</v>
      </c>
      <c r="G6" s="39">
        <v>5</v>
      </c>
      <c r="H6" s="77">
        <f>LARGE($D$2:$D$41,5)</f>
        <v>1033.0000500000001</v>
      </c>
      <c r="I6" s="69">
        <f t="shared" si="1"/>
        <v>5</v>
      </c>
      <c r="J6" s="85" t="str">
        <f t="shared" si="2"/>
        <v>SP2 Chorzele</v>
      </c>
      <c r="K6" s="30"/>
      <c r="L6" s="30">
        <v>0</v>
      </c>
      <c r="M6" s="30">
        <f>MATCH(L6,wyniki!$A:$A,0)+1</f>
        <v>92</v>
      </c>
      <c r="N6" s="30">
        <v>15</v>
      </c>
      <c r="O6" s="121"/>
      <c r="P6" s="121"/>
      <c r="Q6" s="121"/>
      <c r="R6" s="121"/>
      <c r="S6" s="121"/>
      <c r="T6" s="32"/>
      <c r="U6" s="20"/>
      <c r="V6" s="20"/>
      <c r="W6" s="20"/>
      <c r="X6" s="20"/>
      <c r="Y6" s="20"/>
      <c r="Z6" s="20"/>
      <c r="AA6" s="20"/>
    </row>
    <row r="7" spans="2:27" ht="17.25" thickTop="1" thickBot="1">
      <c r="B7">
        <f>wyniki!O47</f>
        <v>906</v>
      </c>
      <c r="C7">
        <v>6.0000000000000002E-5</v>
      </c>
      <c r="D7">
        <f t="shared" si="0"/>
        <v>906.00005999999996</v>
      </c>
      <c r="E7" t="str">
        <f>wyniki!A42</f>
        <v>SP Bieniewice</v>
      </c>
      <c r="G7" s="39">
        <v>6</v>
      </c>
      <c r="H7" s="77">
        <f>LARGE($D$2:$D$41,6)</f>
        <v>959.00000999999997</v>
      </c>
      <c r="I7" s="69">
        <f t="shared" si="1"/>
        <v>1</v>
      </c>
      <c r="J7" s="85" t="str">
        <f t="shared" si="2"/>
        <v>SP14 Warszawa</v>
      </c>
      <c r="K7" s="30"/>
      <c r="L7" s="30">
        <v>0</v>
      </c>
      <c r="M7" s="30">
        <f>MATCH(L7,wyniki!$A:$A,0)+1</f>
        <v>92</v>
      </c>
      <c r="N7" s="30">
        <v>15</v>
      </c>
      <c r="O7" s="121"/>
      <c r="P7" s="121"/>
      <c r="Q7" s="121"/>
      <c r="R7" s="121"/>
      <c r="S7" s="121"/>
      <c r="T7" s="32"/>
      <c r="U7" s="20"/>
      <c r="V7" s="20"/>
      <c r="W7" s="20"/>
      <c r="X7" s="20"/>
      <c r="Y7" s="20"/>
      <c r="Z7" s="20"/>
      <c r="AA7" s="20"/>
    </row>
    <row r="8" spans="2:27" ht="17.25" thickTop="1" thickBot="1">
      <c r="B8">
        <f>wyniki!O54</f>
        <v>1060</v>
      </c>
      <c r="C8">
        <v>6.9999999999999994E-5</v>
      </c>
      <c r="D8">
        <f t="shared" si="0"/>
        <v>1060.0000700000001</v>
      </c>
      <c r="E8" t="str">
        <f>wyniki!A49</f>
        <v>SP2 Węgrów</v>
      </c>
      <c r="G8" s="39">
        <v>7</v>
      </c>
      <c r="H8" s="77">
        <f>LARGE($D$2:$D$41,7)</f>
        <v>908.00012000000004</v>
      </c>
      <c r="I8" s="69">
        <f t="shared" si="1"/>
        <v>12</v>
      </c>
      <c r="J8" s="85" t="str">
        <f t="shared" si="2"/>
        <v>ZSP Jedlińsk</v>
      </c>
      <c r="K8" s="30"/>
      <c r="L8" s="30">
        <v>0</v>
      </c>
      <c r="M8" s="30">
        <f>MATCH(L8,wyniki!$A:$A,0)+1</f>
        <v>92</v>
      </c>
      <c r="N8" s="30">
        <v>15</v>
      </c>
      <c r="O8" s="121"/>
      <c r="P8" s="121"/>
      <c r="Q8" s="121"/>
      <c r="R8" s="121"/>
      <c r="S8" s="121"/>
      <c r="T8" s="32"/>
      <c r="U8" s="20"/>
      <c r="V8" s="20"/>
      <c r="W8" s="20"/>
      <c r="X8" s="20"/>
      <c r="Y8" s="20"/>
      <c r="Z8" s="20"/>
      <c r="AA8" s="20"/>
    </row>
    <row r="9" spans="2:27" ht="17.25" thickTop="1" thickBot="1">
      <c r="B9">
        <f>wyniki!O61</f>
        <v>1124</v>
      </c>
      <c r="C9">
        <v>8.0000000000000007E-5</v>
      </c>
      <c r="D9">
        <f t="shared" si="0"/>
        <v>1124.00008</v>
      </c>
      <c r="E9" t="str">
        <f>wyniki!A56</f>
        <v>SP11 Siedlce</v>
      </c>
      <c r="G9" s="39">
        <v>8</v>
      </c>
      <c r="H9" s="77">
        <f>LARGE($D$2:$D$41,8)</f>
        <v>906.00005999999996</v>
      </c>
      <c r="I9" s="69">
        <f t="shared" si="1"/>
        <v>6</v>
      </c>
      <c r="J9" s="85" t="str">
        <f t="shared" si="2"/>
        <v>SP Bieniewice</v>
      </c>
      <c r="K9" s="30"/>
      <c r="L9" s="30">
        <v>0</v>
      </c>
      <c r="M9" s="30">
        <f>MATCH(L9,wyniki!$A:$A,0)+1</f>
        <v>92</v>
      </c>
      <c r="N9" s="30">
        <v>15</v>
      </c>
      <c r="O9" s="121"/>
      <c r="P9" s="121"/>
      <c r="Q9" s="121"/>
      <c r="R9" s="121"/>
      <c r="S9" s="121"/>
      <c r="T9" s="32"/>
      <c r="U9" s="20"/>
      <c r="V9" s="20"/>
      <c r="W9" s="20"/>
      <c r="X9" s="20"/>
      <c r="Y9" s="20"/>
      <c r="Z9" s="20"/>
      <c r="AA9" s="20"/>
    </row>
    <row r="10" spans="2:27" ht="17.25" thickTop="1" thickBot="1">
      <c r="B10">
        <f>wyniki!O68</f>
        <v>1141</v>
      </c>
      <c r="C10">
        <v>9.0000000000000006E-5</v>
      </c>
      <c r="D10">
        <f t="shared" si="0"/>
        <v>1141.00009</v>
      </c>
      <c r="E10" t="str">
        <f>wyniki!A63</f>
        <v>SP Podkowa Leśna</v>
      </c>
      <c r="G10" s="39">
        <v>9</v>
      </c>
      <c r="H10" s="77">
        <f>LARGE($D$2:$D$41,9)</f>
        <v>886.00004000000001</v>
      </c>
      <c r="I10" s="69">
        <f t="shared" si="1"/>
        <v>4</v>
      </c>
      <c r="J10" s="85" t="str">
        <f t="shared" si="2"/>
        <v>SP2 Ostrów Maz.</v>
      </c>
      <c r="K10" s="30"/>
      <c r="L10" s="30">
        <v>0</v>
      </c>
      <c r="M10" s="30">
        <f>MATCH(L10,wyniki!$A:$A,0)+1</f>
        <v>92</v>
      </c>
      <c r="N10" s="30">
        <v>15</v>
      </c>
      <c r="O10" s="121"/>
      <c r="P10" s="121"/>
      <c r="Q10" s="121"/>
      <c r="R10" s="121"/>
      <c r="S10" s="121"/>
      <c r="T10" s="32"/>
      <c r="U10" s="20"/>
      <c r="V10" s="20"/>
      <c r="W10" s="20"/>
      <c r="X10" s="20"/>
      <c r="Y10" s="20"/>
      <c r="Z10" s="20"/>
      <c r="AA10" s="20"/>
    </row>
    <row r="11" spans="2:27" ht="17.25" thickTop="1" thickBot="1">
      <c r="B11">
        <f>wyniki!O75</f>
        <v>789</v>
      </c>
      <c r="C11">
        <v>1E-4</v>
      </c>
      <c r="D11">
        <f t="shared" si="0"/>
        <v>789.00009999999997</v>
      </c>
      <c r="E11" t="str">
        <f>wyniki!A70</f>
        <v>ZSP Lesznowola</v>
      </c>
      <c r="G11" s="39">
        <v>10</v>
      </c>
      <c r="H11" s="77">
        <f>LARGE($D$2:$D$41,10)</f>
        <v>873.00010999999995</v>
      </c>
      <c r="I11" s="69">
        <f t="shared" si="1"/>
        <v>11</v>
      </c>
      <c r="J11" s="85" t="str">
        <f t="shared" si="2"/>
        <v>SP3 Piaseczno</v>
      </c>
      <c r="K11" s="30"/>
      <c r="L11" s="30">
        <v>0</v>
      </c>
      <c r="M11" s="30">
        <f>MATCH(L11,wyniki!$A:$A,0)+1</f>
        <v>92</v>
      </c>
      <c r="N11" s="30">
        <v>15</v>
      </c>
      <c r="O11" s="121"/>
      <c r="P11" s="121"/>
      <c r="Q11" s="121"/>
      <c r="R11" s="121"/>
      <c r="S11" s="121"/>
      <c r="T11" s="32"/>
      <c r="U11" s="20"/>
      <c r="V11" s="20"/>
      <c r="W11" s="20"/>
      <c r="X11" s="20"/>
      <c r="Y11" s="20"/>
      <c r="Z11" s="20"/>
      <c r="AA11" s="20"/>
    </row>
    <row r="12" spans="2:27" ht="17.25" thickTop="1" thickBot="1">
      <c r="B12">
        <f>wyniki!O82</f>
        <v>873</v>
      </c>
      <c r="C12">
        <v>1.1E-4</v>
      </c>
      <c r="D12">
        <f t="shared" si="0"/>
        <v>873.00010999999995</v>
      </c>
      <c r="E12" t="str">
        <f>wyniki!A77</f>
        <v>SP3 Piaseczno</v>
      </c>
      <c r="G12" s="39">
        <v>11</v>
      </c>
      <c r="H12" s="77">
        <f>LARGE($D$2:$D$41,11)</f>
        <v>869.00003000000004</v>
      </c>
      <c r="I12" s="69">
        <f t="shared" si="1"/>
        <v>3</v>
      </c>
      <c r="J12" s="85" t="str">
        <f t="shared" si="2"/>
        <v>PSP 2 Radom</v>
      </c>
      <c r="K12" s="30"/>
      <c r="L12" s="30">
        <v>0</v>
      </c>
      <c r="M12" s="30">
        <f>MATCH(L12,wyniki!$A:$A,0)+1</f>
        <v>92</v>
      </c>
      <c r="N12" s="30">
        <v>15</v>
      </c>
      <c r="O12" s="121"/>
      <c r="P12" s="121"/>
      <c r="Q12" s="121"/>
      <c r="R12" s="121"/>
      <c r="S12" s="121"/>
      <c r="T12" s="32"/>
      <c r="U12" s="20"/>
      <c r="V12" s="20"/>
      <c r="W12" s="20"/>
      <c r="X12" s="20"/>
      <c r="Y12" s="20"/>
      <c r="Z12" s="20"/>
      <c r="AA12" s="20"/>
    </row>
    <row r="13" spans="2:27" ht="17.25" thickTop="1" thickBot="1">
      <c r="B13">
        <f>wyniki!O89</f>
        <v>908</v>
      </c>
      <c r="C13">
        <v>1.2E-4</v>
      </c>
      <c r="D13">
        <f t="shared" si="0"/>
        <v>908.00012000000004</v>
      </c>
      <c r="E13" t="str">
        <f>wyniki!A84</f>
        <v>ZSP Jedlińsk</v>
      </c>
      <c r="G13" s="39">
        <v>12</v>
      </c>
      <c r="H13" s="77">
        <f>LARGE($D$2:$D$41,12)</f>
        <v>789.00009999999997</v>
      </c>
      <c r="I13" s="69">
        <f t="shared" si="1"/>
        <v>10</v>
      </c>
      <c r="J13" s="85" t="str">
        <f t="shared" si="2"/>
        <v>ZSP Lesznowola</v>
      </c>
      <c r="K13" s="30"/>
      <c r="L13" s="30">
        <v>0</v>
      </c>
      <c r="M13" s="30">
        <f>MATCH(L13,wyniki!$A:$A,0)+1</f>
        <v>92</v>
      </c>
      <c r="N13" s="30">
        <v>15</v>
      </c>
      <c r="O13" s="121"/>
      <c r="P13" s="121"/>
      <c r="Q13" s="121"/>
      <c r="R13" s="121"/>
      <c r="S13" s="121"/>
      <c r="T13" s="32"/>
      <c r="U13" s="20"/>
      <c r="V13" s="20"/>
      <c r="W13" s="20"/>
      <c r="X13" s="20"/>
      <c r="Y13" s="20"/>
      <c r="Z13" s="20"/>
      <c r="AA13" s="20"/>
    </row>
    <row r="14" spans="2:27" ht="17.25" thickTop="1" thickBot="1">
      <c r="B14">
        <f>wyniki!O96</f>
        <v>0</v>
      </c>
      <c r="C14">
        <v>1.2999999999999999E-4</v>
      </c>
      <c r="D14">
        <f t="shared" si="0"/>
        <v>1.2999999999999999E-4</v>
      </c>
      <c r="E14">
        <f>wyniki!A91</f>
        <v>0</v>
      </c>
      <c r="G14" s="39">
        <v>13</v>
      </c>
      <c r="H14" s="77">
        <f>LARGE($D$2:$D$41,13)</f>
        <v>4.0000000000000002E-4</v>
      </c>
      <c r="I14" s="69">
        <f t="shared" si="1"/>
        <v>40</v>
      </c>
      <c r="J14" s="85">
        <f t="shared" si="2"/>
        <v>0</v>
      </c>
      <c r="K14" s="30"/>
      <c r="L14" s="30">
        <v>0</v>
      </c>
      <c r="M14" s="30">
        <f>MATCH(L14,wyniki!$A:$A,0)+1</f>
        <v>92</v>
      </c>
      <c r="N14" s="30">
        <v>15</v>
      </c>
      <c r="O14" s="121"/>
      <c r="P14" s="121"/>
      <c r="Q14" s="121"/>
      <c r="R14" s="121"/>
      <c r="S14" s="121"/>
      <c r="T14" s="32"/>
      <c r="U14" s="20"/>
      <c r="V14" s="20"/>
      <c r="W14" s="20"/>
      <c r="X14" s="20"/>
      <c r="Y14" s="20"/>
      <c r="Z14" s="20"/>
      <c r="AA14" s="20"/>
    </row>
    <row r="15" spans="2:27" ht="17.25" thickTop="1" thickBot="1">
      <c r="B15">
        <f>wyniki!O103</f>
        <v>0</v>
      </c>
      <c r="C15">
        <v>1.3999999999999999E-4</v>
      </c>
      <c r="D15">
        <f t="shared" si="0"/>
        <v>1.3999999999999999E-4</v>
      </c>
      <c r="E15">
        <f>wyniki!A98</f>
        <v>0</v>
      </c>
      <c r="G15" s="39">
        <v>14</v>
      </c>
      <c r="H15" s="77">
        <f>LARGE($D$2:$D$41,14)</f>
        <v>3.8999999999999999E-4</v>
      </c>
      <c r="I15" s="69">
        <f t="shared" si="1"/>
        <v>39</v>
      </c>
      <c r="J15" s="85">
        <f t="shared" si="2"/>
        <v>0</v>
      </c>
      <c r="K15" s="30"/>
      <c r="L15" s="30">
        <v>0</v>
      </c>
      <c r="M15" s="30">
        <f>MATCH(L15,wyniki!$A:$A,0)+1</f>
        <v>92</v>
      </c>
      <c r="N15" s="30">
        <v>15</v>
      </c>
      <c r="O15" s="121"/>
      <c r="P15" s="121"/>
      <c r="Q15" s="121"/>
      <c r="R15" s="121"/>
      <c r="S15" s="121"/>
      <c r="T15" s="32"/>
      <c r="U15" s="20"/>
      <c r="V15" s="20"/>
      <c r="W15" s="20"/>
      <c r="X15" s="20"/>
      <c r="Y15" s="20"/>
      <c r="Z15" s="20"/>
      <c r="AA15" s="20"/>
    </row>
    <row r="16" spans="2:27" ht="17.25" thickTop="1" thickBot="1">
      <c r="B16">
        <f>wyniki!O110</f>
        <v>0</v>
      </c>
      <c r="C16">
        <v>1.4999999999999999E-4</v>
      </c>
      <c r="D16">
        <f t="shared" si="0"/>
        <v>1.4999999999999999E-4</v>
      </c>
      <c r="E16">
        <f>wyniki!A105</f>
        <v>0</v>
      </c>
      <c r="G16" s="39">
        <v>15</v>
      </c>
      <c r="H16" s="77">
        <f>LARGE($D$2:$D$41,15)</f>
        <v>3.8000000000000002E-4</v>
      </c>
      <c r="I16" s="69">
        <f t="shared" si="1"/>
        <v>38</v>
      </c>
      <c r="J16" s="85">
        <f t="shared" si="2"/>
        <v>0</v>
      </c>
      <c r="K16" s="30"/>
      <c r="L16" s="30">
        <v>0</v>
      </c>
      <c r="M16" s="30">
        <f>MATCH(L16,wyniki!$A:$A,0)+1</f>
        <v>92</v>
      </c>
      <c r="N16" s="30">
        <v>15</v>
      </c>
      <c r="O16" s="121"/>
      <c r="P16" s="121"/>
      <c r="Q16" s="121"/>
      <c r="R16" s="121"/>
      <c r="S16" s="121"/>
      <c r="T16" s="32"/>
      <c r="U16" s="20"/>
      <c r="V16" s="20"/>
      <c r="W16" s="20"/>
      <c r="X16" s="20"/>
      <c r="Y16" s="20"/>
      <c r="Z16" s="20"/>
      <c r="AA16" s="20"/>
    </row>
    <row r="17" spans="2:27" ht="17.25" thickTop="1" thickBot="1">
      <c r="B17">
        <f>wyniki!O117</f>
        <v>0</v>
      </c>
      <c r="C17">
        <v>1.6000000000000001E-4</v>
      </c>
      <c r="D17">
        <f t="shared" si="0"/>
        <v>1.6000000000000001E-4</v>
      </c>
      <c r="E17">
        <f>wyniki!A112</f>
        <v>0</v>
      </c>
      <c r="G17" s="39">
        <v>16</v>
      </c>
      <c r="H17" s="77">
        <f>LARGE($D$2:$D$41,16)</f>
        <v>3.6999999999999999E-4</v>
      </c>
      <c r="I17" s="69">
        <f t="shared" si="1"/>
        <v>37</v>
      </c>
      <c r="J17" s="85">
        <f t="shared" si="2"/>
        <v>0</v>
      </c>
      <c r="K17" s="30"/>
      <c r="L17" s="30">
        <v>0</v>
      </c>
      <c r="M17" s="30">
        <f>MATCH(L17,wyniki!$A:$A,0)+1</f>
        <v>92</v>
      </c>
      <c r="N17" s="30">
        <v>15</v>
      </c>
      <c r="O17" s="121"/>
      <c r="P17" s="121"/>
      <c r="Q17" s="121"/>
      <c r="R17" s="121"/>
      <c r="S17" s="121"/>
      <c r="T17" s="32"/>
      <c r="U17" s="20"/>
      <c r="V17" s="20"/>
      <c r="W17" s="20"/>
      <c r="X17" s="20"/>
      <c r="Y17" s="20"/>
      <c r="Z17" s="20"/>
      <c r="AA17" s="20"/>
    </row>
    <row r="18" spans="2:27" ht="17.25" thickTop="1" thickBot="1">
      <c r="B18">
        <f>wyniki!O124</f>
        <v>0</v>
      </c>
      <c r="C18">
        <v>1.7000000000000001E-4</v>
      </c>
      <c r="D18">
        <f t="shared" si="0"/>
        <v>1.7000000000000001E-4</v>
      </c>
      <c r="E18">
        <f>wyniki!A119</f>
        <v>0</v>
      </c>
      <c r="G18" s="39">
        <v>17</v>
      </c>
      <c r="H18" s="77">
        <f>LARGE($D$2:$D$41,17)</f>
        <v>3.6000000000000002E-4</v>
      </c>
      <c r="I18" s="69">
        <f t="shared" si="1"/>
        <v>36</v>
      </c>
      <c r="J18" s="85">
        <f t="shared" si="2"/>
        <v>0</v>
      </c>
      <c r="K18" s="30"/>
      <c r="L18" s="30">
        <v>0</v>
      </c>
      <c r="M18" s="30">
        <f>MATCH(L18,wyniki!$A:$A,0)+1</f>
        <v>92</v>
      </c>
      <c r="N18" s="30">
        <v>15</v>
      </c>
      <c r="O18" s="121"/>
      <c r="P18" s="121"/>
      <c r="Q18" s="121"/>
      <c r="R18" s="121"/>
      <c r="S18" s="121"/>
      <c r="T18" s="32"/>
      <c r="U18" s="20"/>
      <c r="V18" s="20"/>
      <c r="W18" s="20"/>
      <c r="X18" s="20"/>
      <c r="Y18" s="20"/>
      <c r="Z18" s="20"/>
      <c r="AA18" s="20"/>
    </row>
    <row r="19" spans="2:27" ht="17.25" thickTop="1" thickBot="1">
      <c r="B19">
        <f>wyniki!O131</f>
        <v>0</v>
      </c>
      <c r="C19">
        <v>1.8000000000000001E-4</v>
      </c>
      <c r="D19">
        <f t="shared" si="0"/>
        <v>1.8000000000000001E-4</v>
      </c>
      <c r="E19">
        <f>wyniki!A126</f>
        <v>0</v>
      </c>
      <c r="G19" s="39">
        <v>18</v>
      </c>
      <c r="H19" s="77">
        <f>LARGE($D$2:$D$41,18)</f>
        <v>3.5E-4</v>
      </c>
      <c r="I19" s="69">
        <f t="shared" si="1"/>
        <v>35</v>
      </c>
      <c r="J19" s="85">
        <f t="shared" si="2"/>
        <v>0</v>
      </c>
      <c r="K19" s="30"/>
      <c r="L19" s="30">
        <v>0</v>
      </c>
      <c r="M19" s="30">
        <f>MATCH(L19,wyniki!$A:$A,0)+1</f>
        <v>92</v>
      </c>
      <c r="N19" s="30">
        <v>15</v>
      </c>
      <c r="O19" s="121"/>
      <c r="P19" s="121"/>
      <c r="Q19" s="121"/>
      <c r="R19" s="121"/>
      <c r="S19" s="121"/>
      <c r="T19" s="32"/>
      <c r="U19" s="20"/>
      <c r="V19" s="20"/>
      <c r="W19" s="20"/>
      <c r="X19" s="20"/>
      <c r="Y19" s="20"/>
      <c r="Z19" s="20"/>
      <c r="AA19" s="20"/>
    </row>
    <row r="20" spans="2:27" ht="17.25" thickTop="1" thickBot="1">
      <c r="B20">
        <f>wyniki!O138</f>
        <v>0</v>
      </c>
      <c r="C20">
        <v>1.9000000000000001E-4</v>
      </c>
      <c r="D20">
        <f t="shared" si="0"/>
        <v>1.9000000000000001E-4</v>
      </c>
      <c r="E20">
        <f>wyniki!A133</f>
        <v>0</v>
      </c>
      <c r="G20" s="39">
        <v>19</v>
      </c>
      <c r="H20" s="77">
        <f>LARGE($D$2:$D$41,19)</f>
        <v>3.4000000000000002E-4</v>
      </c>
      <c r="I20" s="69">
        <f t="shared" si="1"/>
        <v>34</v>
      </c>
      <c r="J20" s="85">
        <f t="shared" si="2"/>
        <v>0</v>
      </c>
      <c r="K20" s="30"/>
      <c r="L20" s="30">
        <v>0</v>
      </c>
      <c r="M20" s="30">
        <f>MATCH(L20,wyniki!$A:$A,0)+1</f>
        <v>92</v>
      </c>
      <c r="N20" s="30">
        <v>15</v>
      </c>
      <c r="O20" s="121"/>
      <c r="P20" s="121"/>
      <c r="Q20" s="121"/>
      <c r="R20" s="121"/>
      <c r="S20" s="121"/>
      <c r="T20" s="32"/>
      <c r="U20" s="20"/>
      <c r="V20" s="20"/>
      <c r="W20" s="20"/>
      <c r="X20" s="20"/>
      <c r="Y20" s="20"/>
      <c r="Z20" s="20"/>
      <c r="AA20" s="20"/>
    </row>
    <row r="21" spans="2:27" ht="17.25" thickTop="1" thickBot="1">
      <c r="B21">
        <f>wyniki!O145</f>
        <v>0</v>
      </c>
      <c r="C21">
        <v>2.0000000000000001E-4</v>
      </c>
      <c r="D21">
        <f t="shared" si="0"/>
        <v>2.0000000000000001E-4</v>
      </c>
      <c r="E21">
        <f>wyniki!A140</f>
        <v>0</v>
      </c>
      <c r="G21" s="39">
        <v>20</v>
      </c>
      <c r="H21" s="77">
        <f>LARGE($D$2:$D$41,20)</f>
        <v>3.3E-4</v>
      </c>
      <c r="I21" s="69">
        <f t="shared" si="1"/>
        <v>33</v>
      </c>
      <c r="J21" s="85">
        <f t="shared" si="2"/>
        <v>0</v>
      </c>
      <c r="K21" s="30"/>
      <c r="L21" s="30">
        <v>0</v>
      </c>
      <c r="M21" s="30">
        <f>MATCH(L21,wyniki!$A:$A,0)+1</f>
        <v>92</v>
      </c>
      <c r="N21" s="30">
        <v>15</v>
      </c>
      <c r="O21" s="121"/>
      <c r="P21" s="121"/>
      <c r="Q21" s="121"/>
      <c r="R21" s="121"/>
      <c r="S21" s="121"/>
      <c r="T21" s="32"/>
      <c r="U21" s="20"/>
      <c r="V21" s="20"/>
      <c r="W21" s="20"/>
      <c r="X21" s="20"/>
      <c r="Y21" s="20"/>
      <c r="Z21" s="20"/>
      <c r="AA21" s="20"/>
    </row>
    <row r="22" spans="2:27" ht="17.25" thickTop="1" thickBot="1">
      <c r="B22">
        <f>wyniki!O152</f>
        <v>0</v>
      </c>
      <c r="C22">
        <v>2.1000000000000001E-4</v>
      </c>
      <c r="D22">
        <f t="shared" si="0"/>
        <v>2.1000000000000001E-4</v>
      </c>
      <c r="E22">
        <f>wyniki!A147</f>
        <v>0</v>
      </c>
      <c r="G22" s="39">
        <v>21</v>
      </c>
      <c r="H22" s="77">
        <f>LARGE($D$2:$D$41,21)</f>
        <v>3.2000000000000003E-4</v>
      </c>
      <c r="I22" s="69">
        <f t="shared" si="1"/>
        <v>32</v>
      </c>
      <c r="J22" s="85">
        <f t="shared" si="2"/>
        <v>0</v>
      </c>
      <c r="K22" s="30"/>
      <c r="L22" s="30">
        <v>0</v>
      </c>
      <c r="M22" s="30">
        <f>MATCH(L22,wyniki!$A:$A,0)+1</f>
        <v>92</v>
      </c>
      <c r="N22" s="30">
        <v>15</v>
      </c>
      <c r="O22" s="121"/>
      <c r="P22" s="121"/>
      <c r="Q22" s="121"/>
      <c r="R22" s="121"/>
      <c r="S22" s="121"/>
      <c r="T22" s="32"/>
      <c r="U22" s="20"/>
      <c r="V22" s="20"/>
      <c r="W22" s="20"/>
      <c r="X22" s="20"/>
      <c r="Y22" s="20"/>
      <c r="Z22" s="20"/>
      <c r="AA22" s="20"/>
    </row>
    <row r="23" spans="2:27" ht="17.25" thickTop="1" thickBot="1">
      <c r="B23">
        <f>wyniki!O159</f>
        <v>0</v>
      </c>
      <c r="C23">
        <v>2.2000000000000001E-4</v>
      </c>
      <c r="D23">
        <f t="shared" si="0"/>
        <v>2.2000000000000001E-4</v>
      </c>
      <c r="E23">
        <f>wyniki!A154</f>
        <v>0</v>
      </c>
      <c r="G23" s="39">
        <v>22</v>
      </c>
      <c r="H23" s="77">
        <f>LARGE($D$2:$D$41,22)</f>
        <v>3.1E-4</v>
      </c>
      <c r="I23" s="69">
        <f t="shared" si="1"/>
        <v>31</v>
      </c>
      <c r="J23" s="85">
        <f t="shared" si="2"/>
        <v>0</v>
      </c>
      <c r="K23" s="30"/>
      <c r="L23" s="30">
        <v>0</v>
      </c>
      <c r="M23" s="30">
        <f>MATCH(L23,wyniki!$A:$A,0)+1</f>
        <v>92</v>
      </c>
      <c r="N23" s="30">
        <v>15</v>
      </c>
      <c r="O23" s="121"/>
      <c r="P23" s="121"/>
      <c r="Q23" s="121"/>
      <c r="R23" s="121"/>
      <c r="S23" s="121"/>
      <c r="T23" s="32"/>
      <c r="U23" s="20"/>
      <c r="V23" s="20"/>
      <c r="W23" s="20"/>
      <c r="X23" s="20"/>
      <c r="Y23" s="20"/>
      <c r="Z23" s="20"/>
      <c r="AA23" s="20"/>
    </row>
    <row r="24" spans="2:27" ht="17.25" thickTop="1" thickBot="1">
      <c r="B24">
        <f>wyniki!O166</f>
        <v>0</v>
      </c>
      <c r="C24">
        <v>2.3000000000000001E-4</v>
      </c>
      <c r="D24">
        <f t="shared" si="0"/>
        <v>2.3000000000000001E-4</v>
      </c>
      <c r="E24">
        <f>wyniki!A161</f>
        <v>0</v>
      </c>
      <c r="G24" s="39">
        <v>23</v>
      </c>
      <c r="H24" s="77">
        <f>LARGE($D$2:$D$41,23)</f>
        <v>2.9999999999999997E-4</v>
      </c>
      <c r="I24" s="69">
        <f t="shared" si="1"/>
        <v>30</v>
      </c>
      <c r="J24" s="85">
        <f t="shared" si="2"/>
        <v>0</v>
      </c>
      <c r="K24" s="30"/>
      <c r="L24" s="30">
        <v>0</v>
      </c>
      <c r="M24" s="30">
        <f>MATCH(L24,wyniki!$A:$A,0)+1</f>
        <v>92</v>
      </c>
      <c r="N24" s="30">
        <v>15</v>
      </c>
      <c r="O24" s="121"/>
      <c r="P24" s="121"/>
      <c r="Q24" s="121"/>
      <c r="R24" s="121"/>
      <c r="S24" s="121"/>
      <c r="T24" s="32"/>
      <c r="U24" s="20"/>
      <c r="V24" s="20"/>
      <c r="W24" s="20"/>
      <c r="X24" s="20"/>
      <c r="Y24" s="20"/>
      <c r="Z24" s="20"/>
      <c r="AA24" s="20"/>
    </row>
    <row r="25" spans="2:27" ht="17.25" thickTop="1" thickBot="1">
      <c r="B25">
        <f>wyniki!O173</f>
        <v>0</v>
      </c>
      <c r="C25">
        <v>2.4000000000000001E-4</v>
      </c>
      <c r="D25">
        <f t="shared" si="0"/>
        <v>2.4000000000000001E-4</v>
      </c>
      <c r="E25">
        <f>wyniki!A168</f>
        <v>0</v>
      </c>
      <c r="G25" s="39">
        <v>24</v>
      </c>
      <c r="H25" s="77">
        <f>LARGE($D$2:$D$41,24)</f>
        <v>2.9E-4</v>
      </c>
      <c r="I25" s="69">
        <f t="shared" si="1"/>
        <v>29</v>
      </c>
      <c r="J25" s="85">
        <f t="shared" si="2"/>
        <v>0</v>
      </c>
      <c r="K25" s="30"/>
      <c r="L25" s="30">
        <v>0</v>
      </c>
      <c r="M25" s="30">
        <f>MATCH(L25,wyniki!$A:$A,0)+1</f>
        <v>92</v>
      </c>
      <c r="N25" s="30">
        <v>15</v>
      </c>
      <c r="O25" s="121"/>
      <c r="P25" s="121"/>
      <c r="Q25" s="121"/>
      <c r="R25" s="121"/>
      <c r="S25" s="121"/>
      <c r="T25" s="32"/>
      <c r="U25" s="20"/>
      <c r="V25" s="20"/>
      <c r="W25" s="20"/>
      <c r="X25" s="20"/>
      <c r="Y25" s="20"/>
      <c r="Z25" s="20"/>
      <c r="AA25" s="20"/>
    </row>
    <row r="26" spans="2:27" ht="17.25" thickTop="1" thickBot="1">
      <c r="B26">
        <f>wyniki!O180</f>
        <v>0</v>
      </c>
      <c r="C26">
        <v>2.5000000000000001E-4</v>
      </c>
      <c r="D26">
        <f t="shared" si="0"/>
        <v>2.5000000000000001E-4</v>
      </c>
      <c r="E26">
        <f>wyniki!A175</f>
        <v>0</v>
      </c>
      <c r="G26" s="39">
        <v>25</v>
      </c>
      <c r="H26" s="77">
        <f>LARGE($D$2:$D$41,25)</f>
        <v>2.7999999999999998E-4</v>
      </c>
      <c r="I26" s="69">
        <f t="shared" si="1"/>
        <v>28</v>
      </c>
      <c r="J26" s="85">
        <f t="shared" si="2"/>
        <v>0</v>
      </c>
      <c r="K26" s="30"/>
      <c r="L26" s="30">
        <v>0</v>
      </c>
      <c r="M26" s="30">
        <f>MATCH(L26,wyniki!$A:$A,0)+1</f>
        <v>92</v>
      </c>
      <c r="N26" s="30">
        <v>15</v>
      </c>
      <c r="O26" s="121"/>
      <c r="P26" s="121"/>
      <c r="Q26" s="121"/>
      <c r="R26" s="121"/>
      <c r="S26" s="121"/>
      <c r="T26" s="32"/>
      <c r="U26" s="20"/>
      <c r="V26" s="20"/>
      <c r="W26" s="20"/>
      <c r="X26" s="20"/>
      <c r="Y26" s="20"/>
      <c r="Z26" s="20"/>
      <c r="AA26" s="20"/>
    </row>
    <row r="27" spans="2:27" ht="17.25" thickTop="1" thickBot="1">
      <c r="B27">
        <f>wyniki!O187</f>
        <v>0</v>
      </c>
      <c r="C27">
        <v>2.5999999999999998E-4</v>
      </c>
      <c r="D27">
        <f t="shared" si="0"/>
        <v>2.5999999999999998E-4</v>
      </c>
      <c r="E27">
        <f>wyniki!A182</f>
        <v>0</v>
      </c>
      <c r="G27" s="39">
        <v>26</v>
      </c>
      <c r="H27" s="77">
        <f>LARGE($D$2:$D$41,26)</f>
        <v>2.7E-4</v>
      </c>
      <c r="I27" s="69">
        <f t="shared" si="1"/>
        <v>27</v>
      </c>
      <c r="J27" s="85">
        <f t="shared" si="2"/>
        <v>0</v>
      </c>
      <c r="K27" s="30"/>
      <c r="L27" s="30">
        <v>0</v>
      </c>
      <c r="M27" s="30">
        <f>MATCH(L27,wyniki!$A:$A,0)+1</f>
        <v>92</v>
      </c>
      <c r="N27" s="30">
        <v>15</v>
      </c>
      <c r="O27" s="121"/>
      <c r="P27" s="121"/>
      <c r="Q27" s="121"/>
      <c r="R27" s="121"/>
      <c r="S27" s="121"/>
      <c r="T27" s="32"/>
      <c r="U27" s="20"/>
      <c r="V27" s="20"/>
      <c r="W27" s="20"/>
      <c r="X27" s="20"/>
      <c r="Y27" s="20"/>
      <c r="Z27" s="20"/>
      <c r="AA27" s="20"/>
    </row>
    <row r="28" spans="2:27" ht="17.25" thickTop="1" thickBot="1">
      <c r="B28">
        <f>wyniki!O194</f>
        <v>0</v>
      </c>
      <c r="C28">
        <v>2.7E-4</v>
      </c>
      <c r="D28">
        <f t="shared" si="0"/>
        <v>2.7E-4</v>
      </c>
      <c r="E28">
        <f>wyniki!A189</f>
        <v>0</v>
      </c>
      <c r="G28" s="39">
        <v>27</v>
      </c>
      <c r="H28" s="77">
        <f>LARGE($D$2:$D$41,27)</f>
        <v>2.5999999999999998E-4</v>
      </c>
      <c r="I28" s="69">
        <f t="shared" si="1"/>
        <v>26</v>
      </c>
      <c r="J28" s="85">
        <f t="shared" si="2"/>
        <v>0</v>
      </c>
      <c r="K28" s="30"/>
      <c r="L28" s="30">
        <v>0</v>
      </c>
      <c r="M28" s="30">
        <f>MATCH(L28,wyniki!$A:$A,0)+1</f>
        <v>92</v>
      </c>
      <c r="N28" s="30">
        <v>15</v>
      </c>
      <c r="O28" s="121"/>
      <c r="P28" s="121"/>
      <c r="Q28" s="121"/>
      <c r="R28" s="121"/>
      <c r="S28" s="121"/>
      <c r="T28" s="32"/>
      <c r="U28" s="20"/>
      <c r="V28" s="20"/>
      <c r="W28" s="20"/>
      <c r="X28" s="20"/>
      <c r="Y28" s="20"/>
      <c r="Z28" s="20"/>
      <c r="AA28" s="20"/>
    </row>
    <row r="29" spans="2:27" ht="17.25" thickTop="1" thickBot="1">
      <c r="B29">
        <f>wyniki!O201</f>
        <v>0</v>
      </c>
      <c r="C29">
        <v>2.7999999999999998E-4</v>
      </c>
      <c r="D29">
        <f t="shared" si="0"/>
        <v>2.7999999999999998E-4</v>
      </c>
      <c r="E29">
        <f>wyniki!A196</f>
        <v>0</v>
      </c>
      <c r="G29" s="39">
        <v>28</v>
      </c>
      <c r="H29" s="77">
        <f>LARGE($D$2:$D$41,28)</f>
        <v>2.5000000000000001E-4</v>
      </c>
      <c r="I29" s="69">
        <f t="shared" si="1"/>
        <v>25</v>
      </c>
      <c r="J29" s="85">
        <f t="shared" si="2"/>
        <v>0</v>
      </c>
      <c r="K29" s="30"/>
      <c r="L29" s="30">
        <v>0</v>
      </c>
      <c r="M29" s="30">
        <f>MATCH(L29,wyniki!$A:$A,0)+1</f>
        <v>92</v>
      </c>
      <c r="N29" s="30">
        <v>15</v>
      </c>
      <c r="O29" s="121"/>
      <c r="P29" s="121"/>
      <c r="Q29" s="121"/>
      <c r="R29" s="121"/>
      <c r="S29" s="121"/>
      <c r="T29" s="32"/>
      <c r="U29" s="20"/>
      <c r="V29" s="20"/>
      <c r="W29" s="20"/>
      <c r="X29" s="20"/>
      <c r="Y29" s="20"/>
      <c r="Z29" s="20"/>
      <c r="AA29" s="20"/>
    </row>
    <row r="30" spans="2:27" ht="17.25" thickTop="1" thickBot="1">
      <c r="B30">
        <f>wyniki!O208</f>
        <v>0</v>
      </c>
      <c r="C30">
        <v>2.9E-4</v>
      </c>
      <c r="D30">
        <f t="shared" si="0"/>
        <v>2.9E-4</v>
      </c>
      <c r="E30">
        <f>wyniki!A203</f>
        <v>0</v>
      </c>
      <c r="G30" s="39">
        <v>29</v>
      </c>
      <c r="H30" s="77">
        <f>LARGE($D$2:$D$41,29)</f>
        <v>2.4000000000000001E-4</v>
      </c>
      <c r="I30" s="69">
        <f t="shared" si="1"/>
        <v>24</v>
      </c>
      <c r="J30" s="85">
        <f t="shared" si="2"/>
        <v>0</v>
      </c>
      <c r="K30" s="30"/>
      <c r="L30" s="30">
        <v>0</v>
      </c>
      <c r="M30" s="30">
        <f>MATCH(L30,wyniki!$A:$A,0)+1</f>
        <v>92</v>
      </c>
      <c r="N30" s="30">
        <v>15</v>
      </c>
      <c r="O30" s="121"/>
      <c r="P30" s="121"/>
      <c r="Q30" s="121"/>
      <c r="R30" s="121"/>
      <c r="S30" s="121"/>
      <c r="T30" s="32"/>
      <c r="U30" s="20"/>
      <c r="V30" s="20"/>
      <c r="W30" s="20"/>
      <c r="X30" s="20"/>
      <c r="Y30" s="20"/>
      <c r="Z30" s="20"/>
      <c r="AA30" s="20"/>
    </row>
    <row r="31" spans="2:27" ht="17.25" thickTop="1" thickBot="1">
      <c r="B31">
        <f>wyniki!O215</f>
        <v>0</v>
      </c>
      <c r="C31">
        <v>2.9999999999999997E-4</v>
      </c>
      <c r="D31">
        <f t="shared" si="0"/>
        <v>2.9999999999999997E-4</v>
      </c>
      <c r="E31">
        <f>wyniki!A210</f>
        <v>0</v>
      </c>
      <c r="G31" s="39">
        <v>30</v>
      </c>
      <c r="H31" s="77">
        <f>LARGE($D$2:$D$41,30)</f>
        <v>2.3000000000000001E-4</v>
      </c>
      <c r="I31" s="69">
        <f t="shared" si="1"/>
        <v>23</v>
      </c>
      <c r="J31" s="85">
        <f t="shared" si="2"/>
        <v>0</v>
      </c>
      <c r="K31" s="30"/>
      <c r="L31" s="30">
        <v>0</v>
      </c>
      <c r="M31" s="30">
        <f>MATCH(L31,wyniki!$A:$A,0)+1</f>
        <v>92</v>
      </c>
      <c r="N31" s="30">
        <v>15</v>
      </c>
      <c r="O31" s="121"/>
      <c r="P31" s="121"/>
      <c r="Q31" s="121"/>
      <c r="R31" s="121"/>
      <c r="S31" s="121"/>
      <c r="T31" s="32"/>
      <c r="U31" s="20"/>
      <c r="V31" s="20"/>
      <c r="W31" s="20"/>
      <c r="X31" s="20"/>
      <c r="Y31" s="20"/>
      <c r="Z31" s="20"/>
      <c r="AA31" s="20"/>
    </row>
    <row r="32" spans="2:27" ht="17.25" thickTop="1" thickBot="1">
      <c r="B32">
        <f>wyniki!O222</f>
        <v>0</v>
      </c>
      <c r="C32">
        <v>3.1E-4</v>
      </c>
      <c r="D32">
        <f t="shared" si="0"/>
        <v>3.1E-4</v>
      </c>
      <c r="E32">
        <f>wyniki!A217</f>
        <v>0</v>
      </c>
      <c r="G32" s="39">
        <v>31</v>
      </c>
      <c r="H32" s="77">
        <f>LARGE($D$2:$D$41,31)</f>
        <v>2.2000000000000001E-4</v>
      </c>
      <c r="I32" s="69">
        <f t="shared" si="1"/>
        <v>22</v>
      </c>
      <c r="J32" s="85">
        <f t="shared" si="2"/>
        <v>0</v>
      </c>
      <c r="K32" s="30"/>
      <c r="L32" s="30">
        <v>0</v>
      </c>
      <c r="M32" s="30">
        <f>MATCH(L32,wyniki!$A:$A,0)+1</f>
        <v>92</v>
      </c>
      <c r="N32" s="30">
        <v>15</v>
      </c>
      <c r="O32" s="121"/>
      <c r="P32" s="121"/>
      <c r="Q32" s="121"/>
      <c r="R32" s="121"/>
      <c r="S32" s="121"/>
      <c r="T32" s="32"/>
      <c r="U32" s="20"/>
      <c r="V32" s="20"/>
      <c r="W32" s="20"/>
      <c r="X32" s="20"/>
      <c r="Y32" s="20"/>
      <c r="Z32" s="20"/>
      <c r="AA32" s="20"/>
    </row>
    <row r="33" spans="1:27" ht="17.25" thickTop="1" thickBot="1">
      <c r="B33">
        <f>wyniki!O229</f>
        <v>0</v>
      </c>
      <c r="C33">
        <v>3.2000000000000003E-4</v>
      </c>
      <c r="D33">
        <f t="shared" si="0"/>
        <v>3.2000000000000003E-4</v>
      </c>
      <c r="E33">
        <f>wyniki!A224</f>
        <v>0</v>
      </c>
      <c r="G33" s="39">
        <v>32</v>
      </c>
      <c r="H33" s="77">
        <f>LARGE($D$2:$D$41,32)</f>
        <v>2.1000000000000001E-4</v>
      </c>
      <c r="I33" s="69">
        <f t="shared" si="1"/>
        <v>21</v>
      </c>
      <c r="J33" s="85">
        <f t="shared" si="2"/>
        <v>0</v>
      </c>
      <c r="K33" s="30"/>
      <c r="L33" s="30">
        <v>0</v>
      </c>
      <c r="M33" s="30">
        <f>MATCH(L33,wyniki!$A:$A,0)+1</f>
        <v>92</v>
      </c>
      <c r="N33" s="30">
        <v>15</v>
      </c>
      <c r="O33" s="121"/>
      <c r="P33" s="121"/>
      <c r="Q33" s="121"/>
      <c r="R33" s="121"/>
      <c r="S33" s="121"/>
      <c r="T33" s="32"/>
      <c r="U33" s="20"/>
      <c r="V33" s="20"/>
      <c r="W33" s="20"/>
      <c r="X33" s="20"/>
      <c r="Y33" s="20"/>
      <c r="Z33" s="20"/>
      <c r="AA33" s="20"/>
    </row>
    <row r="34" spans="1:27" ht="17.25" thickTop="1" thickBot="1">
      <c r="B34">
        <f>wyniki!O236</f>
        <v>0</v>
      </c>
      <c r="C34">
        <v>3.3E-4</v>
      </c>
      <c r="D34">
        <f t="shared" si="0"/>
        <v>3.3E-4</v>
      </c>
      <c r="E34">
        <f>wyniki!A231</f>
        <v>0</v>
      </c>
      <c r="G34" s="39">
        <v>33</v>
      </c>
      <c r="H34" s="77">
        <f>LARGE($D$2:$D$41,33)</f>
        <v>2.0000000000000001E-4</v>
      </c>
      <c r="I34" s="69">
        <f t="shared" si="1"/>
        <v>20</v>
      </c>
      <c r="J34" s="85">
        <f t="shared" si="2"/>
        <v>0</v>
      </c>
      <c r="K34" s="30"/>
      <c r="L34" s="30">
        <v>0</v>
      </c>
      <c r="M34" s="30">
        <f>MATCH(L34,wyniki!$A:$A,0)+1</f>
        <v>92</v>
      </c>
      <c r="N34" s="30">
        <v>15</v>
      </c>
      <c r="O34" s="121"/>
      <c r="P34" s="121"/>
      <c r="Q34" s="121"/>
      <c r="R34" s="121"/>
      <c r="S34" s="121"/>
      <c r="T34" s="32"/>
      <c r="U34" s="20"/>
      <c r="V34" s="20"/>
      <c r="W34" s="20"/>
      <c r="X34" s="20"/>
      <c r="Y34" s="20"/>
      <c r="Z34" s="20"/>
      <c r="AA34" s="20"/>
    </row>
    <row r="35" spans="1:27" ht="17.25" thickTop="1" thickBot="1">
      <c r="B35">
        <f>wyniki!O243</f>
        <v>0</v>
      </c>
      <c r="C35">
        <v>3.4000000000000002E-4</v>
      </c>
      <c r="D35">
        <f t="shared" si="0"/>
        <v>3.4000000000000002E-4</v>
      </c>
      <c r="E35">
        <f>wyniki!A238</f>
        <v>0</v>
      </c>
      <c r="G35" s="39">
        <v>34</v>
      </c>
      <c r="H35" s="77">
        <f>LARGE($D$2:$D$41,34)</f>
        <v>1.9000000000000001E-4</v>
      </c>
      <c r="I35" s="69">
        <f t="shared" si="1"/>
        <v>19</v>
      </c>
      <c r="J35" s="85">
        <f t="shared" si="2"/>
        <v>0</v>
      </c>
      <c r="K35" s="30"/>
      <c r="L35" s="30">
        <v>0</v>
      </c>
      <c r="M35" s="30">
        <f>MATCH(L35,wyniki!$A:$A,0)+1</f>
        <v>92</v>
      </c>
      <c r="N35" s="30">
        <v>15</v>
      </c>
      <c r="O35" s="121"/>
      <c r="P35" s="121"/>
      <c r="Q35" s="121"/>
      <c r="R35" s="121"/>
      <c r="S35" s="121"/>
      <c r="T35" s="32"/>
      <c r="U35" s="20"/>
      <c r="V35" s="20"/>
      <c r="W35" s="20"/>
      <c r="X35" s="20"/>
      <c r="Y35" s="20"/>
      <c r="Z35" s="20"/>
      <c r="AA35" s="20"/>
    </row>
    <row r="36" spans="1:27" ht="17.25" thickTop="1" thickBot="1">
      <c r="B36">
        <f>wyniki!O250</f>
        <v>0</v>
      </c>
      <c r="C36">
        <v>3.5E-4</v>
      </c>
      <c r="D36">
        <f t="shared" si="0"/>
        <v>3.5E-4</v>
      </c>
      <c r="E36">
        <f>wyniki!A245</f>
        <v>0</v>
      </c>
      <c r="G36" s="39">
        <v>35</v>
      </c>
      <c r="H36" s="77">
        <f>LARGE($D$2:$D$41,35)</f>
        <v>1.8000000000000001E-4</v>
      </c>
      <c r="I36" s="69">
        <f t="shared" si="1"/>
        <v>18</v>
      </c>
      <c r="J36" s="85">
        <f t="shared" si="2"/>
        <v>0</v>
      </c>
      <c r="K36" s="30"/>
      <c r="L36" s="30">
        <v>0</v>
      </c>
      <c r="M36" s="30">
        <f>MATCH(L36,wyniki!$A:$A,0)+1</f>
        <v>92</v>
      </c>
      <c r="N36" s="30">
        <v>15</v>
      </c>
      <c r="O36" s="121"/>
      <c r="P36" s="121"/>
      <c r="Q36" s="121"/>
      <c r="R36" s="121"/>
      <c r="S36" s="121"/>
      <c r="T36" s="32"/>
      <c r="U36" s="20"/>
      <c r="V36" s="20"/>
      <c r="W36" s="20"/>
      <c r="X36" s="20"/>
      <c r="Y36" s="20"/>
      <c r="Z36" s="20"/>
      <c r="AA36" s="20"/>
    </row>
    <row r="37" spans="1:27" ht="17.25" thickTop="1" thickBot="1">
      <c r="B37">
        <f>wyniki!O257</f>
        <v>0</v>
      </c>
      <c r="C37">
        <v>3.6000000000000002E-4</v>
      </c>
      <c r="D37">
        <f t="shared" si="0"/>
        <v>3.6000000000000002E-4</v>
      </c>
      <c r="E37">
        <f>wyniki!A252</f>
        <v>0</v>
      </c>
      <c r="G37" s="39">
        <v>36</v>
      </c>
      <c r="H37" s="77">
        <f>LARGE($D$2:$D$41,36)</f>
        <v>1.7000000000000001E-4</v>
      </c>
      <c r="I37" s="69">
        <f t="shared" si="1"/>
        <v>17</v>
      </c>
      <c r="J37" s="85">
        <f t="shared" si="2"/>
        <v>0</v>
      </c>
      <c r="K37" s="30"/>
      <c r="L37" s="30">
        <v>0</v>
      </c>
      <c r="M37" s="30">
        <f>MATCH(L37,wyniki!$A:$A,0)+1</f>
        <v>92</v>
      </c>
      <c r="N37" s="30">
        <v>15</v>
      </c>
      <c r="O37" s="121"/>
      <c r="P37" s="121"/>
      <c r="Q37" s="121"/>
      <c r="R37" s="121"/>
      <c r="S37" s="121"/>
      <c r="T37" s="32"/>
      <c r="U37" s="20"/>
      <c r="V37" s="20"/>
      <c r="W37" s="20"/>
      <c r="X37" s="20"/>
      <c r="Y37" s="20"/>
      <c r="Z37" s="20"/>
      <c r="AA37" s="20"/>
    </row>
    <row r="38" spans="1:27" ht="17.25" thickTop="1" thickBot="1">
      <c r="B38">
        <f>wyniki!O264</f>
        <v>0</v>
      </c>
      <c r="C38">
        <v>3.6999999999999999E-4</v>
      </c>
      <c r="D38">
        <f t="shared" si="0"/>
        <v>3.6999999999999999E-4</v>
      </c>
      <c r="E38">
        <f>wyniki!A259</f>
        <v>0</v>
      </c>
      <c r="G38" s="39">
        <v>37</v>
      </c>
      <c r="H38" s="77">
        <f>LARGE($D$2:$D$41,37)</f>
        <v>1.6000000000000001E-4</v>
      </c>
      <c r="I38" s="69">
        <f t="shared" si="1"/>
        <v>16</v>
      </c>
      <c r="J38" s="85">
        <f t="shared" si="2"/>
        <v>0</v>
      </c>
      <c r="K38" s="30"/>
      <c r="L38" s="30">
        <v>0</v>
      </c>
      <c r="M38" s="30">
        <f>MATCH(L38,wyniki!$A:$A,0)+1</f>
        <v>92</v>
      </c>
      <c r="N38" s="30">
        <v>15</v>
      </c>
      <c r="O38" s="121"/>
      <c r="P38" s="121"/>
      <c r="Q38" s="121"/>
      <c r="R38" s="121"/>
      <c r="S38" s="121"/>
      <c r="T38" s="32"/>
      <c r="U38" s="20"/>
      <c r="V38" s="20"/>
      <c r="W38" s="20"/>
      <c r="X38" s="20"/>
      <c r="Y38" s="20"/>
      <c r="Z38" s="20"/>
      <c r="AA38" s="20"/>
    </row>
    <row r="39" spans="1:27" ht="17.25" thickTop="1" thickBot="1">
      <c r="B39">
        <f>wyniki!O271</f>
        <v>0</v>
      </c>
      <c r="C39">
        <v>3.8000000000000002E-4</v>
      </c>
      <c r="D39">
        <f t="shared" si="0"/>
        <v>3.8000000000000002E-4</v>
      </c>
      <c r="E39">
        <f>wyniki!A266</f>
        <v>0</v>
      </c>
      <c r="G39" s="39">
        <v>38</v>
      </c>
      <c r="H39" s="77">
        <f>LARGE($D$2:$D$41,38)</f>
        <v>1.4999999999999999E-4</v>
      </c>
      <c r="I39" s="69">
        <f t="shared" si="1"/>
        <v>15</v>
      </c>
      <c r="J39" s="85">
        <f t="shared" si="2"/>
        <v>0</v>
      </c>
      <c r="K39" s="30"/>
      <c r="L39" s="30">
        <v>0</v>
      </c>
      <c r="M39" s="30">
        <f>MATCH(L39,wyniki!$A:$A,0)+1</f>
        <v>92</v>
      </c>
      <c r="N39" s="30">
        <v>15</v>
      </c>
      <c r="O39" s="121"/>
      <c r="P39" s="121"/>
      <c r="Q39" s="121"/>
      <c r="R39" s="121"/>
      <c r="S39" s="121"/>
      <c r="T39" s="32"/>
      <c r="U39" s="20"/>
      <c r="V39" s="20"/>
      <c r="W39" s="20"/>
      <c r="X39" s="20"/>
      <c r="Y39" s="20"/>
      <c r="Z39" s="20"/>
      <c r="AA39" s="20"/>
    </row>
    <row r="40" spans="1:27" ht="17.25" thickTop="1" thickBot="1">
      <c r="B40">
        <f>wyniki!O278</f>
        <v>0</v>
      </c>
      <c r="C40">
        <v>3.8999999999999999E-4</v>
      </c>
      <c r="D40">
        <f t="shared" si="0"/>
        <v>3.8999999999999999E-4</v>
      </c>
      <c r="E40">
        <f>wyniki!A273</f>
        <v>0</v>
      </c>
      <c r="G40" s="39">
        <v>39</v>
      </c>
      <c r="H40" s="77">
        <f>LARGE($D$2:$D$41,39)</f>
        <v>1.3999999999999999E-4</v>
      </c>
      <c r="I40" s="69">
        <f t="shared" si="1"/>
        <v>14</v>
      </c>
      <c r="J40" s="85">
        <f t="shared" si="2"/>
        <v>0</v>
      </c>
      <c r="K40" s="30"/>
      <c r="L40" s="30">
        <v>0</v>
      </c>
      <c r="M40" s="30">
        <f>MATCH(L40,wyniki!$A:$A,0)+1</f>
        <v>92</v>
      </c>
      <c r="N40" s="30">
        <v>15</v>
      </c>
      <c r="O40" s="121"/>
      <c r="P40" s="121"/>
      <c r="Q40" s="121"/>
      <c r="R40" s="121"/>
      <c r="S40" s="121"/>
      <c r="T40" s="32"/>
      <c r="U40" s="20"/>
      <c r="V40" s="20"/>
      <c r="W40" s="20"/>
      <c r="X40" s="20"/>
      <c r="Y40" s="20"/>
      <c r="Z40" s="20"/>
      <c r="AA40" s="20"/>
    </row>
    <row r="41" spans="1:27" ht="17.25" thickTop="1" thickBot="1">
      <c r="B41">
        <f>wyniki!O285</f>
        <v>0</v>
      </c>
      <c r="C41">
        <v>4.0000000000000002E-4</v>
      </c>
      <c r="D41">
        <f t="shared" si="0"/>
        <v>4.0000000000000002E-4</v>
      </c>
      <c r="E41">
        <f>wyniki!A280</f>
        <v>0</v>
      </c>
      <c r="G41" s="39">
        <v>40</v>
      </c>
      <c r="H41" s="77">
        <f>LARGE($D$2:$D$41,40)</f>
        <v>1.2999999999999999E-4</v>
      </c>
      <c r="I41" s="69">
        <f t="shared" si="1"/>
        <v>13</v>
      </c>
      <c r="J41" s="85">
        <f t="shared" si="2"/>
        <v>0</v>
      </c>
      <c r="K41" s="30"/>
      <c r="L41" s="30">
        <v>0</v>
      </c>
      <c r="M41" s="30">
        <f>MATCH(L41,wyniki!$A:$A,0)+1</f>
        <v>92</v>
      </c>
      <c r="N41" s="30">
        <v>15</v>
      </c>
      <c r="O41" s="121"/>
      <c r="P41" s="121"/>
      <c r="Q41" s="121"/>
      <c r="R41" s="121"/>
      <c r="S41" s="121"/>
      <c r="T41" s="32"/>
      <c r="U41" s="20"/>
      <c r="V41" s="20"/>
      <c r="W41" s="20"/>
      <c r="X41" s="20"/>
      <c r="Y41" s="20"/>
      <c r="Z41" s="20"/>
      <c r="AA41" s="20"/>
    </row>
    <row r="42" spans="1:27" ht="13.5" thickTop="1">
      <c r="A42" s="20"/>
      <c r="B42" s="20"/>
      <c r="C42" s="20"/>
      <c r="D42" s="20"/>
      <c r="E42" s="20"/>
      <c r="F42" s="20"/>
      <c r="G42" s="84"/>
      <c r="H42" s="83"/>
      <c r="I42" s="20"/>
      <c r="J42" s="86"/>
      <c r="K42" s="30"/>
      <c r="L42" s="30"/>
      <c r="M42" s="30"/>
      <c r="N42" s="30"/>
      <c r="O42" s="32"/>
      <c r="P42" s="32"/>
      <c r="Q42" s="32"/>
      <c r="R42" s="32"/>
      <c r="S42" s="32"/>
      <c r="T42" s="32"/>
      <c r="U42" s="20"/>
      <c r="V42" s="20"/>
      <c r="W42" s="20"/>
      <c r="X42" s="20"/>
      <c r="Y42" s="20"/>
      <c r="Z42" s="20"/>
      <c r="AA42" s="20"/>
    </row>
    <row r="43" spans="1:27">
      <c r="A43" s="20"/>
      <c r="B43" s="20"/>
      <c r="C43" s="20"/>
      <c r="D43" s="20"/>
      <c r="E43" s="20"/>
      <c r="F43" s="20"/>
      <c r="G43" s="84"/>
      <c r="H43" s="83"/>
      <c r="I43" s="20"/>
      <c r="J43" s="86"/>
      <c r="K43" s="30"/>
      <c r="L43" s="30"/>
      <c r="M43" s="30"/>
      <c r="N43" s="30"/>
      <c r="O43" s="32"/>
      <c r="P43" s="32"/>
      <c r="Q43" s="32"/>
      <c r="R43" s="32"/>
      <c r="S43" s="32"/>
      <c r="T43" s="32"/>
      <c r="U43" s="20"/>
      <c r="V43" s="20"/>
      <c r="W43" s="20"/>
      <c r="X43" s="20"/>
      <c r="Y43" s="20"/>
      <c r="Z43" s="20"/>
      <c r="AA43" s="20"/>
    </row>
    <row r="44" spans="1:27">
      <c r="A44" s="20"/>
      <c r="B44" s="20"/>
      <c r="C44" s="20"/>
      <c r="D44" s="20"/>
      <c r="E44" s="20"/>
      <c r="F44" s="20"/>
      <c r="G44" s="84"/>
      <c r="H44" s="83"/>
      <c r="I44" s="20"/>
      <c r="J44" s="86"/>
      <c r="K44" s="30"/>
      <c r="L44" s="30"/>
      <c r="M44" s="30"/>
      <c r="N44" s="30"/>
      <c r="O44" s="32"/>
      <c r="P44" s="32"/>
      <c r="Q44" s="32"/>
      <c r="R44" s="32"/>
      <c r="S44" s="32"/>
      <c r="T44" s="32"/>
      <c r="U44" s="20"/>
      <c r="V44" s="20"/>
      <c r="W44" s="20"/>
      <c r="X44" s="20"/>
      <c r="Y44" s="20"/>
      <c r="Z44" s="20"/>
      <c r="AA44" s="20"/>
    </row>
    <row r="45" spans="1:27">
      <c r="A45" s="20"/>
      <c r="B45" s="20"/>
      <c r="C45" s="20"/>
      <c r="D45" s="20"/>
      <c r="E45" s="20"/>
      <c r="F45" s="20"/>
      <c r="G45" s="84"/>
      <c r="H45" s="83"/>
      <c r="I45" s="20"/>
      <c r="J45" s="86"/>
      <c r="K45" s="30"/>
      <c r="L45" s="30"/>
      <c r="M45" s="30"/>
      <c r="N45" s="30"/>
      <c r="O45" s="32"/>
      <c r="P45" s="32"/>
      <c r="Q45" s="32"/>
      <c r="R45" s="32"/>
      <c r="S45" s="32"/>
      <c r="T45" s="32"/>
      <c r="U45" s="20"/>
      <c r="V45" s="20"/>
      <c r="W45" s="20"/>
      <c r="X45" s="20"/>
      <c r="Y45" s="20"/>
      <c r="Z45" s="20"/>
      <c r="AA45" s="20"/>
    </row>
    <row r="46" spans="1:27">
      <c r="A46" s="20"/>
      <c r="B46" s="20"/>
      <c r="C46" s="20"/>
      <c r="D46" s="20"/>
      <c r="E46" s="20"/>
      <c r="F46" s="20"/>
      <c r="G46" s="84"/>
      <c r="H46" s="83"/>
      <c r="I46" s="20"/>
      <c r="J46" s="86"/>
      <c r="K46" s="30"/>
      <c r="L46" s="30"/>
      <c r="M46" s="30"/>
      <c r="N46" s="30"/>
      <c r="O46" s="32"/>
      <c r="P46" s="32"/>
      <c r="Q46" s="32"/>
      <c r="R46" s="32"/>
      <c r="S46" s="32"/>
      <c r="T46" s="32"/>
      <c r="U46" s="20"/>
      <c r="V46" s="20"/>
      <c r="W46" s="20"/>
      <c r="X46" s="20"/>
      <c r="Y46" s="20"/>
      <c r="Z46" s="20"/>
      <c r="AA46" s="20"/>
    </row>
    <row r="47" spans="1:27">
      <c r="A47" s="20"/>
      <c r="B47" s="20"/>
      <c r="C47" s="20"/>
      <c r="D47" s="20"/>
      <c r="E47" s="20"/>
      <c r="F47" s="20"/>
      <c r="G47" s="84"/>
      <c r="H47" s="83"/>
      <c r="I47" s="20"/>
      <c r="J47" s="86"/>
      <c r="K47" s="30"/>
      <c r="L47" s="30"/>
      <c r="M47" s="30"/>
      <c r="N47" s="30"/>
      <c r="O47" s="32"/>
      <c r="P47" s="32"/>
      <c r="Q47" s="32"/>
      <c r="R47" s="32"/>
      <c r="S47" s="32"/>
      <c r="T47" s="32"/>
      <c r="U47" s="20"/>
      <c r="V47" s="20"/>
      <c r="W47" s="20"/>
      <c r="X47" s="20"/>
      <c r="Y47" s="20"/>
      <c r="Z47" s="20"/>
      <c r="AA47" s="20"/>
    </row>
    <row r="48" spans="1:27">
      <c r="A48" s="20"/>
      <c r="B48" s="20"/>
      <c r="C48" s="20"/>
      <c r="D48" s="20"/>
      <c r="E48" s="20"/>
      <c r="F48" s="20"/>
      <c r="G48" s="84"/>
      <c r="H48" s="83"/>
      <c r="I48" s="20"/>
      <c r="J48" s="86"/>
      <c r="K48" s="30"/>
      <c r="L48" s="30"/>
      <c r="M48" s="30"/>
      <c r="N48" s="30"/>
      <c r="O48" s="32"/>
      <c r="P48" s="32"/>
      <c r="Q48" s="32"/>
      <c r="R48" s="32"/>
      <c r="S48" s="32"/>
      <c r="T48" s="32"/>
      <c r="U48" s="20"/>
      <c r="V48" s="20"/>
      <c r="W48" s="20"/>
      <c r="X48" s="20"/>
      <c r="Y48" s="20"/>
      <c r="Z48" s="20"/>
      <c r="AA48" s="20"/>
    </row>
    <row r="49" spans="1:27">
      <c r="A49" s="20"/>
      <c r="B49" s="20"/>
      <c r="C49" s="20"/>
      <c r="D49" s="20"/>
      <c r="E49" s="20"/>
      <c r="F49" s="20"/>
      <c r="G49" s="84"/>
      <c r="H49" s="83"/>
      <c r="I49" s="20"/>
      <c r="J49" s="86"/>
      <c r="K49" s="30"/>
      <c r="L49" s="30"/>
      <c r="M49" s="30"/>
      <c r="N49" s="30"/>
      <c r="O49" s="32"/>
      <c r="P49" s="32"/>
      <c r="Q49" s="32"/>
      <c r="R49" s="32"/>
      <c r="S49" s="32"/>
      <c r="T49" s="32"/>
      <c r="U49" s="20"/>
      <c r="V49" s="20"/>
      <c r="W49" s="20"/>
      <c r="X49" s="20"/>
      <c r="Y49" s="20"/>
      <c r="Z49" s="20"/>
      <c r="AA49" s="20"/>
    </row>
    <row r="50" spans="1:27">
      <c r="A50" s="20"/>
      <c r="B50" s="20"/>
      <c r="C50" s="20"/>
      <c r="D50" s="20"/>
      <c r="E50" s="20"/>
      <c r="F50" s="20"/>
      <c r="G50" s="84"/>
      <c r="H50" s="83"/>
      <c r="I50" s="20"/>
      <c r="J50" s="86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20"/>
      <c r="V50" s="20"/>
      <c r="W50" s="20"/>
      <c r="X50" s="20"/>
      <c r="Y50" s="20"/>
      <c r="Z50" s="20"/>
      <c r="AA50" s="20"/>
    </row>
    <row r="51" spans="1:27">
      <c r="A51" s="20"/>
      <c r="B51" s="20"/>
      <c r="C51" s="20"/>
      <c r="D51" s="20"/>
      <c r="E51" s="20"/>
      <c r="F51" s="20"/>
      <c r="G51" s="84"/>
      <c r="H51" s="83"/>
      <c r="I51" s="20"/>
      <c r="J51" s="86"/>
      <c r="K51" s="30"/>
      <c r="L51" s="30"/>
      <c r="M51" s="30"/>
      <c r="N51" s="30"/>
      <c r="O51" s="32"/>
      <c r="P51" s="32"/>
      <c r="Q51" s="32"/>
      <c r="R51" s="32"/>
      <c r="S51" s="32"/>
      <c r="T51" s="32"/>
      <c r="U51" s="20"/>
      <c r="V51" s="20"/>
      <c r="W51" s="20"/>
      <c r="X51" s="20"/>
      <c r="Y51" s="20"/>
      <c r="Z51" s="20"/>
      <c r="AA51" s="20"/>
    </row>
    <row r="52" spans="1:27">
      <c r="A52" s="20"/>
      <c r="B52" s="20"/>
      <c r="C52" s="20"/>
      <c r="D52" s="20"/>
      <c r="E52" s="20"/>
      <c r="F52" s="20"/>
      <c r="G52" s="84"/>
      <c r="H52" s="83"/>
      <c r="I52" s="20"/>
      <c r="J52" s="86"/>
      <c r="K52" s="30"/>
      <c r="L52" s="30"/>
      <c r="M52" s="30"/>
      <c r="N52" s="30"/>
      <c r="O52" s="32"/>
      <c r="P52" s="32"/>
      <c r="Q52" s="32"/>
      <c r="R52" s="32"/>
      <c r="S52" s="32"/>
      <c r="T52" s="32"/>
      <c r="U52" s="20"/>
      <c r="V52" s="20"/>
      <c r="W52" s="20"/>
      <c r="X52" s="20"/>
      <c r="Y52" s="20"/>
      <c r="Z52" s="20"/>
      <c r="AA52" s="20"/>
    </row>
    <row r="53" spans="1:27">
      <c r="A53" s="20"/>
      <c r="B53" s="20"/>
      <c r="C53" s="20"/>
      <c r="D53" s="20"/>
      <c r="E53" s="20"/>
      <c r="F53" s="20"/>
      <c r="G53" s="84"/>
      <c r="H53" s="83"/>
      <c r="I53" s="20"/>
      <c r="J53" s="86"/>
      <c r="K53" s="30"/>
      <c r="L53" s="30"/>
      <c r="M53" s="30"/>
      <c r="N53" s="30"/>
      <c r="O53" s="32"/>
      <c r="P53" s="32"/>
      <c r="Q53" s="32"/>
      <c r="R53" s="32"/>
      <c r="S53" s="32"/>
      <c r="T53" s="32"/>
      <c r="U53" s="20"/>
      <c r="V53" s="20"/>
      <c r="W53" s="20"/>
      <c r="X53" s="20"/>
      <c r="Y53" s="20"/>
      <c r="Z53" s="20"/>
      <c r="AA53" s="20"/>
    </row>
    <row r="54" spans="1:27">
      <c r="A54" s="20"/>
      <c r="B54" s="20"/>
      <c r="C54" s="20"/>
      <c r="D54" s="20"/>
      <c r="E54" s="20"/>
      <c r="F54" s="20"/>
      <c r="G54" s="84"/>
      <c r="H54" s="83"/>
      <c r="I54" s="20"/>
      <c r="J54" s="86"/>
      <c r="K54" s="30"/>
      <c r="L54" s="30"/>
      <c r="M54" s="30"/>
      <c r="N54" s="30"/>
      <c r="O54" s="32"/>
      <c r="P54" s="32"/>
      <c r="Q54" s="32"/>
      <c r="R54" s="32"/>
      <c r="S54" s="32"/>
      <c r="T54" s="32"/>
      <c r="U54" s="20"/>
      <c r="V54" s="20"/>
      <c r="W54" s="20"/>
      <c r="X54" s="20"/>
      <c r="Y54" s="20"/>
      <c r="Z54" s="20"/>
      <c r="AA54" s="20"/>
    </row>
    <row r="55" spans="1:27">
      <c r="A55" s="20"/>
      <c r="B55" s="20"/>
      <c r="C55" s="20"/>
      <c r="D55" s="20"/>
      <c r="E55" s="20"/>
      <c r="F55" s="20"/>
      <c r="G55" s="84"/>
      <c r="H55" s="83"/>
      <c r="I55" s="20"/>
      <c r="J55" s="86"/>
      <c r="K55" s="30"/>
      <c r="L55" s="30"/>
      <c r="M55" s="30"/>
      <c r="N55" s="30"/>
      <c r="O55" s="32"/>
      <c r="P55" s="32"/>
      <c r="Q55" s="32"/>
      <c r="R55" s="32"/>
      <c r="S55" s="32"/>
      <c r="T55" s="32"/>
      <c r="U55" s="20"/>
      <c r="V55" s="20"/>
      <c r="W55" s="20"/>
      <c r="X55" s="20"/>
      <c r="Y55" s="20"/>
      <c r="Z55" s="20"/>
      <c r="AA55" s="20"/>
    </row>
    <row r="56" spans="1:27">
      <c r="A56" s="20"/>
      <c r="B56" s="20"/>
      <c r="C56" s="20"/>
      <c r="D56" s="20"/>
      <c r="E56" s="20"/>
      <c r="F56" s="20"/>
      <c r="G56" s="84"/>
      <c r="H56" s="83"/>
      <c r="I56" s="20"/>
      <c r="J56" s="86"/>
      <c r="K56" s="30"/>
      <c r="L56" s="30"/>
      <c r="M56" s="30"/>
      <c r="N56" s="30"/>
      <c r="O56" s="32"/>
      <c r="P56" s="32"/>
      <c r="Q56" s="32"/>
      <c r="R56" s="32"/>
      <c r="S56" s="32"/>
      <c r="T56" s="32"/>
      <c r="U56" s="20"/>
      <c r="V56" s="20"/>
      <c r="W56" s="20"/>
      <c r="X56" s="20"/>
      <c r="Y56" s="20"/>
      <c r="Z56" s="20"/>
      <c r="AA56" s="20"/>
    </row>
    <row r="57" spans="1:27">
      <c r="A57" s="20"/>
      <c r="B57" s="20"/>
      <c r="C57" s="20"/>
      <c r="D57" s="20"/>
      <c r="E57" s="20"/>
      <c r="F57" s="20"/>
      <c r="G57" s="84"/>
      <c r="H57" s="83"/>
      <c r="I57" s="20"/>
      <c r="J57" s="86"/>
      <c r="K57" s="30"/>
      <c r="L57" s="30"/>
      <c r="M57" s="30"/>
      <c r="N57" s="30"/>
      <c r="O57" s="32"/>
      <c r="P57" s="32"/>
      <c r="Q57" s="32"/>
      <c r="R57" s="32"/>
      <c r="S57" s="32"/>
      <c r="T57" s="32"/>
      <c r="U57" s="20"/>
      <c r="V57" s="20"/>
      <c r="W57" s="20"/>
      <c r="X57" s="20"/>
      <c r="Y57" s="20"/>
      <c r="Z57" s="20"/>
      <c r="AA57" s="20"/>
    </row>
    <row r="58" spans="1:27">
      <c r="A58" s="20"/>
      <c r="B58" s="20"/>
      <c r="C58" s="20"/>
      <c r="D58" s="20"/>
      <c r="E58" s="20"/>
      <c r="F58" s="20"/>
      <c r="G58" s="84"/>
      <c r="H58" s="83"/>
      <c r="I58" s="20"/>
      <c r="J58" s="86"/>
      <c r="K58" s="30"/>
      <c r="L58" s="30"/>
      <c r="M58" s="30"/>
      <c r="N58" s="30"/>
      <c r="O58" s="32"/>
      <c r="P58" s="32"/>
      <c r="Q58" s="32"/>
      <c r="R58" s="32"/>
      <c r="S58" s="32"/>
      <c r="T58" s="32"/>
      <c r="U58" s="20"/>
      <c r="V58" s="20"/>
      <c r="W58" s="20"/>
      <c r="X58" s="20"/>
      <c r="Y58" s="20"/>
      <c r="Z58" s="20"/>
      <c r="AA58" s="20"/>
    </row>
    <row r="59" spans="1:27">
      <c r="A59" s="20"/>
      <c r="B59" s="20"/>
      <c r="C59" s="20"/>
      <c r="D59" s="20"/>
      <c r="E59" s="20"/>
      <c r="F59" s="20"/>
      <c r="G59" s="84"/>
      <c r="H59" s="83"/>
      <c r="I59" s="20"/>
      <c r="J59" s="86"/>
      <c r="K59" s="30"/>
      <c r="L59" s="30"/>
      <c r="M59" s="30"/>
      <c r="N59" s="30"/>
      <c r="O59" s="32"/>
      <c r="P59" s="32"/>
      <c r="Q59" s="32"/>
      <c r="R59" s="32"/>
      <c r="S59" s="32"/>
      <c r="T59" s="32"/>
      <c r="U59" s="20"/>
      <c r="V59" s="20"/>
      <c r="W59" s="20"/>
      <c r="X59" s="20"/>
      <c r="Y59" s="20"/>
      <c r="Z59" s="20"/>
      <c r="AA59" s="20"/>
    </row>
    <row r="60" spans="1:27">
      <c r="A60" s="20"/>
      <c r="B60" s="20"/>
      <c r="C60" s="20"/>
      <c r="D60" s="20"/>
      <c r="E60" s="20"/>
      <c r="F60" s="20"/>
      <c r="G60" s="84"/>
      <c r="H60" s="83"/>
      <c r="I60" s="20"/>
      <c r="J60" s="86"/>
      <c r="K60" s="30"/>
      <c r="L60" s="30"/>
      <c r="M60" s="30"/>
      <c r="N60" s="30"/>
      <c r="O60" s="32"/>
      <c r="P60" s="32"/>
      <c r="Q60" s="32"/>
      <c r="R60" s="32"/>
      <c r="S60" s="32"/>
      <c r="T60" s="32"/>
      <c r="U60" s="20"/>
      <c r="V60" s="20"/>
      <c r="W60" s="20"/>
      <c r="X60" s="20"/>
      <c r="Y60" s="20"/>
      <c r="Z60" s="20"/>
      <c r="AA60" s="20"/>
    </row>
    <row r="61" spans="1:27">
      <c r="A61" s="20"/>
      <c r="B61" s="20"/>
      <c r="C61" s="20"/>
      <c r="D61" s="20"/>
      <c r="E61" s="20"/>
      <c r="F61" s="20"/>
      <c r="G61" s="84"/>
      <c r="H61" s="83"/>
      <c r="I61" s="20"/>
      <c r="J61" s="86"/>
      <c r="K61" s="30"/>
      <c r="L61" s="30"/>
      <c r="M61" s="30"/>
      <c r="N61" s="30"/>
      <c r="O61" s="32"/>
      <c r="P61" s="32"/>
      <c r="Q61" s="32"/>
      <c r="R61" s="32"/>
      <c r="S61" s="32"/>
      <c r="T61" s="32"/>
      <c r="U61" s="20"/>
      <c r="V61" s="20"/>
      <c r="W61" s="20"/>
      <c r="X61" s="20"/>
      <c r="Y61" s="20"/>
      <c r="Z61" s="20"/>
      <c r="AA61" s="20"/>
    </row>
    <row r="62" spans="1:27">
      <c r="A62" s="20"/>
      <c r="B62" s="20"/>
      <c r="C62" s="20"/>
      <c r="D62" s="20"/>
      <c r="E62" s="20"/>
      <c r="F62" s="20"/>
      <c r="G62" s="84"/>
      <c r="H62" s="83"/>
      <c r="I62" s="20"/>
      <c r="J62" s="86"/>
      <c r="K62" s="30"/>
      <c r="L62" s="30"/>
      <c r="M62" s="30"/>
      <c r="N62" s="30"/>
      <c r="O62" s="32"/>
      <c r="P62" s="32"/>
      <c r="Q62" s="32"/>
      <c r="R62" s="32"/>
      <c r="S62" s="32"/>
      <c r="T62" s="32"/>
      <c r="U62" s="20"/>
      <c r="V62" s="20"/>
      <c r="W62" s="20"/>
      <c r="X62" s="20"/>
      <c r="Y62" s="20"/>
      <c r="Z62" s="20"/>
      <c r="AA62" s="20"/>
    </row>
    <row r="63" spans="1:27">
      <c r="A63" s="20"/>
      <c r="B63" s="20"/>
      <c r="C63" s="20"/>
      <c r="D63" s="20"/>
      <c r="E63" s="20"/>
      <c r="F63" s="20"/>
      <c r="G63" s="84"/>
      <c r="H63" s="83"/>
      <c r="I63" s="20"/>
      <c r="J63" s="86"/>
      <c r="K63" s="30"/>
      <c r="L63" s="30"/>
      <c r="M63" s="30"/>
      <c r="N63" s="30"/>
      <c r="O63" s="32"/>
      <c r="P63" s="32"/>
      <c r="Q63" s="32"/>
      <c r="R63" s="32"/>
      <c r="S63" s="32"/>
      <c r="T63" s="32"/>
      <c r="U63" s="20"/>
      <c r="V63" s="20"/>
      <c r="W63" s="20"/>
      <c r="X63" s="20"/>
      <c r="Y63" s="20"/>
      <c r="Z63" s="20"/>
      <c r="AA63" s="20"/>
    </row>
    <row r="64" spans="1:27">
      <c r="A64" s="20"/>
      <c r="B64" s="20"/>
      <c r="C64" s="20"/>
      <c r="D64" s="20"/>
      <c r="E64" s="20"/>
      <c r="F64" s="20"/>
      <c r="G64" s="84"/>
      <c r="H64" s="83"/>
      <c r="I64" s="20"/>
      <c r="J64" s="86"/>
      <c r="K64" s="30"/>
      <c r="L64" s="30"/>
      <c r="M64" s="30"/>
      <c r="N64" s="30"/>
      <c r="O64" s="32"/>
      <c r="P64" s="32"/>
      <c r="Q64" s="32"/>
      <c r="R64" s="32"/>
      <c r="S64" s="32"/>
      <c r="T64" s="32"/>
      <c r="U64" s="20"/>
      <c r="V64" s="20"/>
      <c r="W64" s="20"/>
      <c r="X64" s="20"/>
      <c r="Y64" s="20"/>
      <c r="Z64" s="20"/>
      <c r="AA64" s="20"/>
    </row>
    <row r="65" spans="1:27">
      <c r="A65" s="20"/>
      <c r="B65" s="20"/>
      <c r="C65" s="20"/>
      <c r="D65" s="20"/>
      <c r="E65" s="20"/>
      <c r="F65" s="20"/>
      <c r="G65" s="84"/>
      <c r="H65" s="83"/>
      <c r="I65" s="20"/>
      <c r="J65" s="86"/>
      <c r="K65" s="30"/>
      <c r="L65" s="30"/>
      <c r="M65" s="30"/>
      <c r="N65" s="30"/>
      <c r="O65" s="32"/>
      <c r="P65" s="32"/>
      <c r="Q65" s="32"/>
      <c r="R65" s="32"/>
      <c r="S65" s="32"/>
      <c r="T65" s="32"/>
      <c r="U65" s="20"/>
      <c r="V65" s="20"/>
      <c r="W65" s="20"/>
      <c r="X65" s="20"/>
      <c r="Y65" s="20"/>
      <c r="Z65" s="20"/>
      <c r="AA65" s="20"/>
    </row>
    <row r="66" spans="1:27">
      <c r="A66" s="20"/>
      <c r="B66" s="20"/>
      <c r="C66" s="20"/>
      <c r="D66" s="20"/>
      <c r="E66" s="20"/>
      <c r="F66" s="20"/>
      <c r="G66" s="84"/>
      <c r="H66" s="83"/>
      <c r="I66" s="20"/>
      <c r="J66" s="86"/>
      <c r="K66" s="30"/>
      <c r="L66" s="30"/>
      <c r="M66" s="30"/>
      <c r="N66" s="30"/>
      <c r="O66" s="32"/>
      <c r="P66" s="32"/>
      <c r="Q66" s="32"/>
      <c r="R66" s="32"/>
      <c r="S66" s="32"/>
      <c r="T66" s="32"/>
      <c r="U66" s="20"/>
      <c r="V66" s="20"/>
      <c r="W66" s="20"/>
      <c r="X66" s="20"/>
      <c r="Y66" s="20"/>
      <c r="Z66" s="20"/>
      <c r="AA66" s="20"/>
    </row>
    <row r="67" spans="1:27">
      <c r="A67" s="20"/>
      <c r="B67" s="20"/>
      <c r="C67" s="20"/>
      <c r="D67" s="20"/>
      <c r="E67" s="20"/>
      <c r="F67" s="20"/>
      <c r="G67" s="84"/>
      <c r="H67" s="83"/>
      <c r="I67" s="20"/>
      <c r="J67" s="86"/>
      <c r="K67" s="30"/>
      <c r="L67" s="30"/>
      <c r="M67" s="30"/>
      <c r="N67" s="30"/>
      <c r="O67" s="32"/>
      <c r="P67" s="32"/>
      <c r="Q67" s="32"/>
      <c r="R67" s="32"/>
      <c r="S67" s="32"/>
      <c r="T67" s="32"/>
      <c r="U67" s="20"/>
      <c r="V67" s="20"/>
      <c r="W67" s="20"/>
      <c r="X67" s="20"/>
      <c r="Y67" s="20"/>
      <c r="Z67" s="20"/>
      <c r="AA67" s="20"/>
    </row>
    <row r="68" spans="1:27">
      <c r="A68" s="20"/>
      <c r="B68" s="20"/>
      <c r="C68" s="20"/>
      <c r="D68" s="20"/>
      <c r="E68" s="20"/>
      <c r="F68" s="20"/>
      <c r="G68" s="84"/>
      <c r="H68" s="83"/>
      <c r="I68" s="20"/>
      <c r="J68" s="86"/>
      <c r="K68" s="30"/>
      <c r="L68" s="30"/>
      <c r="M68" s="30"/>
      <c r="N68" s="30"/>
      <c r="O68" s="32"/>
      <c r="P68" s="32"/>
      <c r="Q68" s="32"/>
      <c r="R68" s="32"/>
      <c r="S68" s="32"/>
      <c r="T68" s="32"/>
      <c r="U68" s="20"/>
      <c r="V68" s="20"/>
      <c r="W68" s="20"/>
      <c r="X68" s="20"/>
      <c r="Y68" s="20"/>
      <c r="Z68" s="20"/>
      <c r="AA68" s="20"/>
    </row>
    <row r="69" spans="1:27">
      <c r="A69" s="20"/>
      <c r="B69" s="20"/>
      <c r="C69" s="20"/>
      <c r="D69" s="20"/>
      <c r="E69" s="20"/>
      <c r="F69" s="20"/>
      <c r="G69" s="84"/>
      <c r="H69" s="83"/>
      <c r="I69" s="20"/>
      <c r="J69" s="86"/>
      <c r="K69" s="30"/>
      <c r="L69" s="30"/>
      <c r="M69" s="30"/>
      <c r="N69" s="30"/>
      <c r="O69" s="32"/>
      <c r="P69" s="32"/>
      <c r="Q69" s="32"/>
      <c r="R69" s="32"/>
      <c r="S69" s="32"/>
      <c r="T69" s="32"/>
      <c r="U69" s="20"/>
      <c r="V69" s="20"/>
      <c r="W69" s="20"/>
      <c r="X69" s="20"/>
      <c r="Y69" s="20"/>
      <c r="Z69" s="20"/>
      <c r="AA69" s="20"/>
    </row>
    <row r="70" spans="1:27">
      <c r="A70" s="20"/>
      <c r="B70" s="20"/>
      <c r="C70" s="20"/>
      <c r="D70" s="20"/>
      <c r="E70" s="20"/>
      <c r="F70" s="20"/>
      <c r="G70" s="84"/>
      <c r="H70" s="83"/>
      <c r="I70" s="20"/>
      <c r="J70" s="86"/>
      <c r="K70" s="30"/>
      <c r="L70" s="30"/>
      <c r="M70" s="30"/>
      <c r="N70" s="30"/>
      <c r="O70" s="32"/>
      <c r="P70" s="32"/>
      <c r="Q70" s="32"/>
      <c r="R70" s="32"/>
      <c r="S70" s="32"/>
      <c r="T70" s="32"/>
      <c r="U70" s="20"/>
      <c r="V70" s="20"/>
      <c r="W70" s="20"/>
      <c r="X70" s="20"/>
      <c r="Y70" s="20"/>
      <c r="Z70" s="20"/>
      <c r="AA70" s="20"/>
    </row>
    <row r="71" spans="1:27">
      <c r="A71" s="20"/>
      <c r="B71" s="20"/>
      <c r="C71" s="20"/>
      <c r="D71" s="20"/>
      <c r="E71" s="20"/>
      <c r="F71" s="20"/>
      <c r="G71" s="84"/>
      <c r="H71" s="83"/>
      <c r="I71" s="20"/>
      <c r="J71" s="86"/>
      <c r="K71" s="30"/>
      <c r="L71" s="30"/>
      <c r="M71" s="30"/>
      <c r="N71" s="30"/>
      <c r="O71" s="32"/>
      <c r="P71" s="32"/>
      <c r="Q71" s="32"/>
      <c r="R71" s="32"/>
      <c r="S71" s="32"/>
      <c r="T71" s="32"/>
      <c r="U71" s="20"/>
      <c r="V71" s="20"/>
      <c r="W71" s="20"/>
      <c r="X71" s="20"/>
      <c r="Y71" s="20"/>
      <c r="Z71" s="20"/>
      <c r="AA71" s="20"/>
    </row>
    <row r="72" spans="1:27">
      <c r="A72" s="20"/>
      <c r="B72" s="20"/>
      <c r="C72" s="20"/>
      <c r="D72" s="20"/>
      <c r="E72" s="20"/>
      <c r="F72" s="20"/>
      <c r="G72" s="84"/>
      <c r="H72" s="83"/>
      <c r="I72" s="20"/>
      <c r="J72" s="86"/>
      <c r="K72" s="30"/>
      <c r="L72" s="30"/>
      <c r="M72" s="30"/>
      <c r="N72" s="30"/>
      <c r="O72" s="32"/>
      <c r="P72" s="32"/>
      <c r="Q72" s="32"/>
      <c r="R72" s="32"/>
      <c r="S72" s="32"/>
      <c r="T72" s="32"/>
      <c r="U72" s="20"/>
      <c r="V72" s="20"/>
      <c r="W72" s="20"/>
      <c r="X72" s="20"/>
      <c r="Y72" s="20"/>
      <c r="Z72" s="20"/>
      <c r="AA72" s="20"/>
    </row>
    <row r="73" spans="1:27">
      <c r="A73" s="20"/>
      <c r="B73" s="20"/>
      <c r="C73" s="20"/>
      <c r="D73" s="20"/>
      <c r="E73" s="20"/>
      <c r="F73" s="20"/>
      <c r="G73" s="84"/>
      <c r="H73" s="83"/>
      <c r="I73" s="20"/>
      <c r="J73" s="86"/>
      <c r="K73" s="30"/>
      <c r="L73" s="30"/>
      <c r="M73" s="30"/>
      <c r="N73" s="30"/>
      <c r="O73" s="32"/>
      <c r="P73" s="32"/>
      <c r="Q73" s="32"/>
      <c r="R73" s="32"/>
      <c r="S73" s="32"/>
      <c r="T73" s="32"/>
      <c r="U73" s="20"/>
      <c r="V73" s="20"/>
      <c r="W73" s="20"/>
      <c r="X73" s="20"/>
      <c r="Y73" s="20"/>
      <c r="Z73" s="20"/>
      <c r="AA73" s="20"/>
    </row>
    <row r="74" spans="1:27">
      <c r="A74" s="20"/>
      <c r="B74" s="20"/>
      <c r="C74" s="20"/>
      <c r="D74" s="20"/>
      <c r="E74" s="20"/>
      <c r="F74" s="20"/>
      <c r="G74" s="84"/>
      <c r="H74" s="83"/>
      <c r="I74" s="20"/>
      <c r="J74" s="86"/>
      <c r="K74" s="30"/>
      <c r="L74" s="30"/>
      <c r="M74" s="30"/>
      <c r="N74" s="30"/>
      <c r="O74" s="32"/>
      <c r="P74" s="32"/>
      <c r="Q74" s="32"/>
      <c r="R74" s="32"/>
      <c r="S74" s="32"/>
      <c r="T74" s="32"/>
      <c r="U74" s="20"/>
      <c r="V74" s="20"/>
      <c r="W74" s="20"/>
      <c r="X74" s="20"/>
      <c r="Y74" s="20"/>
      <c r="Z74" s="20"/>
      <c r="AA74" s="20"/>
    </row>
    <row r="75" spans="1:27">
      <c r="A75" s="20"/>
      <c r="B75" s="20"/>
      <c r="C75" s="20"/>
      <c r="D75" s="20"/>
      <c r="E75" s="20"/>
      <c r="F75" s="20"/>
      <c r="G75" s="84"/>
      <c r="H75" s="83"/>
      <c r="I75" s="20"/>
      <c r="J75" s="86"/>
      <c r="K75" s="30"/>
      <c r="L75" s="30"/>
      <c r="M75" s="30"/>
      <c r="N75" s="30"/>
      <c r="O75" s="32"/>
      <c r="P75" s="32"/>
      <c r="Q75" s="32"/>
      <c r="R75" s="32"/>
      <c r="S75" s="32"/>
      <c r="T75" s="32"/>
      <c r="U75" s="20"/>
      <c r="V75" s="20"/>
      <c r="W75" s="20"/>
      <c r="X75" s="20"/>
      <c r="Y75" s="20"/>
      <c r="Z75" s="20"/>
      <c r="AA75" s="20"/>
    </row>
    <row r="76" spans="1:27">
      <c r="A76" s="20"/>
      <c r="B76" s="20"/>
      <c r="C76" s="20"/>
      <c r="D76" s="20"/>
      <c r="E76" s="20"/>
      <c r="F76" s="20"/>
      <c r="G76" s="84"/>
      <c r="H76" s="83"/>
      <c r="I76" s="20"/>
      <c r="J76" s="86"/>
      <c r="K76" s="30"/>
      <c r="L76" s="30"/>
      <c r="M76" s="30"/>
      <c r="N76" s="30"/>
      <c r="O76" s="32"/>
      <c r="P76" s="32"/>
      <c r="Q76" s="32"/>
      <c r="R76" s="32"/>
      <c r="S76" s="32"/>
      <c r="T76" s="32"/>
      <c r="U76" s="20"/>
      <c r="V76" s="20"/>
      <c r="W76" s="20"/>
      <c r="X76" s="20"/>
      <c r="Y76" s="20"/>
      <c r="Z76" s="20"/>
      <c r="AA76" s="20"/>
    </row>
    <row r="77" spans="1:27">
      <c r="A77" s="20"/>
      <c r="B77" s="20"/>
      <c r="C77" s="20"/>
      <c r="D77" s="20"/>
      <c r="E77" s="20"/>
      <c r="F77" s="20"/>
      <c r="G77" s="84"/>
      <c r="H77" s="83"/>
      <c r="I77" s="20"/>
      <c r="J77" s="86"/>
      <c r="K77" s="30"/>
      <c r="L77" s="30"/>
      <c r="M77" s="30"/>
      <c r="N77" s="30"/>
      <c r="O77" s="32"/>
      <c r="P77" s="32"/>
      <c r="Q77" s="32"/>
      <c r="R77" s="32"/>
      <c r="S77" s="32"/>
      <c r="T77" s="32"/>
      <c r="U77" s="20"/>
      <c r="V77" s="20"/>
      <c r="W77" s="20"/>
      <c r="X77" s="20"/>
      <c r="Y77" s="20"/>
      <c r="Z77" s="20"/>
      <c r="AA77" s="20"/>
    </row>
    <row r="78" spans="1:27">
      <c r="A78" s="20"/>
      <c r="B78" s="20"/>
      <c r="C78" s="20"/>
      <c r="D78" s="20"/>
      <c r="E78" s="20"/>
      <c r="F78" s="20"/>
      <c r="G78" s="84"/>
      <c r="H78" s="83"/>
      <c r="I78" s="20"/>
      <c r="J78" s="86"/>
      <c r="K78" s="30"/>
      <c r="L78" s="30"/>
      <c r="M78" s="30"/>
      <c r="N78" s="30"/>
      <c r="O78" s="32"/>
      <c r="P78" s="32"/>
      <c r="Q78" s="32"/>
      <c r="R78" s="32"/>
      <c r="S78" s="32"/>
      <c r="T78" s="32"/>
      <c r="U78" s="20"/>
      <c r="V78" s="20"/>
      <c r="W78" s="20"/>
      <c r="X78" s="20"/>
      <c r="Y78" s="20"/>
      <c r="Z78" s="20"/>
      <c r="AA78" s="20"/>
    </row>
    <row r="79" spans="1:27">
      <c r="A79" s="20"/>
      <c r="B79" s="20"/>
      <c r="C79" s="20"/>
      <c r="D79" s="20"/>
      <c r="E79" s="20"/>
      <c r="F79" s="20"/>
      <c r="G79" s="84"/>
      <c r="H79" s="83"/>
      <c r="I79" s="20"/>
      <c r="J79" s="86"/>
      <c r="K79" s="30"/>
      <c r="L79" s="30"/>
      <c r="M79" s="30"/>
      <c r="N79" s="30"/>
      <c r="O79" s="32"/>
      <c r="P79" s="32"/>
      <c r="Q79" s="32"/>
      <c r="R79" s="32"/>
      <c r="S79" s="32"/>
      <c r="T79" s="32"/>
      <c r="U79" s="20"/>
      <c r="V79" s="20"/>
      <c r="W79" s="20"/>
      <c r="X79" s="20"/>
      <c r="Y79" s="20"/>
      <c r="Z79" s="20"/>
      <c r="AA79" s="20"/>
    </row>
    <row r="80" spans="1:27">
      <c r="A80" s="20"/>
      <c r="B80" s="20"/>
      <c r="C80" s="20"/>
      <c r="D80" s="20"/>
      <c r="E80" s="20"/>
      <c r="F80" s="20"/>
      <c r="G80" s="84"/>
      <c r="H80" s="83"/>
      <c r="I80" s="20"/>
      <c r="J80" s="86"/>
      <c r="K80" s="30"/>
      <c r="L80" s="30"/>
      <c r="M80" s="30"/>
      <c r="N80" s="30"/>
      <c r="O80" s="32"/>
      <c r="P80" s="32"/>
      <c r="Q80" s="32"/>
      <c r="R80" s="32"/>
      <c r="S80" s="32"/>
      <c r="T80" s="32"/>
      <c r="U80" s="20"/>
      <c r="V80" s="20"/>
      <c r="W80" s="20"/>
      <c r="X80" s="20"/>
      <c r="Y80" s="20"/>
      <c r="Z80" s="20"/>
      <c r="AA80" s="20"/>
    </row>
    <row r="81" spans="1:27">
      <c r="A81" s="20"/>
      <c r="B81" s="20"/>
      <c r="C81" s="20"/>
      <c r="D81" s="20"/>
      <c r="E81" s="20"/>
      <c r="F81" s="20"/>
      <c r="G81" s="84"/>
      <c r="H81" s="83"/>
      <c r="I81" s="20"/>
      <c r="J81" s="86"/>
      <c r="K81" s="30"/>
      <c r="L81" s="30"/>
      <c r="M81" s="30"/>
      <c r="N81" s="30"/>
      <c r="O81" s="32"/>
      <c r="P81" s="32"/>
      <c r="Q81" s="32"/>
      <c r="R81" s="32"/>
      <c r="S81" s="32"/>
      <c r="T81" s="32"/>
      <c r="U81" s="20"/>
      <c r="V81" s="20"/>
      <c r="W81" s="20"/>
      <c r="X81" s="20"/>
      <c r="Y81" s="20"/>
      <c r="Z81" s="20"/>
      <c r="AA81" s="20"/>
    </row>
    <row r="82" spans="1:27">
      <c r="A82" s="20"/>
      <c r="B82" s="20"/>
      <c r="C82" s="20"/>
      <c r="D82" s="20"/>
      <c r="E82" s="20"/>
      <c r="F82" s="20"/>
      <c r="G82" s="84"/>
      <c r="H82" s="83"/>
      <c r="I82" s="20"/>
      <c r="J82" s="86"/>
      <c r="K82" s="30"/>
      <c r="L82" s="30"/>
      <c r="M82" s="30"/>
      <c r="N82" s="30"/>
      <c r="O82" s="32"/>
      <c r="P82" s="32"/>
      <c r="Q82" s="32"/>
      <c r="R82" s="32"/>
      <c r="S82" s="32"/>
      <c r="T82" s="32"/>
      <c r="U82" s="20"/>
      <c r="V82" s="20"/>
      <c r="W82" s="20"/>
      <c r="X82" s="20"/>
      <c r="Y82" s="20"/>
      <c r="Z82" s="20"/>
      <c r="AA82" s="20"/>
    </row>
    <row r="83" spans="1:27">
      <c r="A83" s="20"/>
      <c r="B83" s="20"/>
      <c r="C83" s="20"/>
      <c r="D83" s="20"/>
      <c r="E83" s="20"/>
      <c r="F83" s="20"/>
      <c r="G83" s="84"/>
      <c r="H83" s="83"/>
      <c r="I83" s="20"/>
      <c r="J83" s="86"/>
      <c r="K83" s="30"/>
      <c r="L83" s="30"/>
      <c r="M83" s="30"/>
      <c r="N83" s="30"/>
      <c r="O83" s="32"/>
      <c r="P83" s="32"/>
      <c r="Q83" s="32"/>
      <c r="R83" s="32"/>
      <c r="S83" s="32"/>
      <c r="T83" s="32"/>
      <c r="U83" s="20"/>
      <c r="V83" s="20"/>
      <c r="W83" s="20"/>
      <c r="X83" s="20"/>
      <c r="Y83" s="20"/>
      <c r="Z83" s="20"/>
      <c r="AA83" s="20"/>
    </row>
    <row r="84" spans="1:27">
      <c r="A84" s="20"/>
      <c r="B84" s="20"/>
      <c r="C84" s="20"/>
      <c r="D84" s="20"/>
      <c r="E84" s="20"/>
      <c r="F84" s="20"/>
      <c r="G84" s="84"/>
      <c r="H84" s="83"/>
      <c r="I84" s="20"/>
      <c r="J84" s="86"/>
      <c r="K84" s="30"/>
      <c r="L84" s="30"/>
      <c r="M84" s="30"/>
      <c r="N84" s="30"/>
      <c r="O84" s="32"/>
      <c r="P84" s="32"/>
      <c r="Q84" s="32"/>
      <c r="R84" s="32"/>
      <c r="S84" s="32"/>
      <c r="T84" s="32"/>
      <c r="U84" s="20"/>
      <c r="V84" s="20"/>
      <c r="W84" s="20"/>
      <c r="X84" s="20"/>
      <c r="Y84" s="20"/>
      <c r="Z84" s="20"/>
      <c r="AA84" s="20"/>
    </row>
    <row r="85" spans="1:27">
      <c r="A85" s="20"/>
      <c r="B85" s="20"/>
      <c r="C85" s="20"/>
      <c r="D85" s="20"/>
      <c r="E85" s="20"/>
      <c r="F85" s="20"/>
      <c r="G85" s="84"/>
      <c r="H85" s="83"/>
      <c r="I85" s="20"/>
      <c r="J85" s="86"/>
      <c r="K85" s="30"/>
      <c r="L85" s="30"/>
      <c r="M85" s="30"/>
      <c r="N85" s="30"/>
      <c r="O85" s="32"/>
      <c r="P85" s="32"/>
      <c r="Q85" s="32"/>
      <c r="R85" s="32"/>
      <c r="S85" s="32"/>
      <c r="T85" s="32"/>
      <c r="U85" s="20"/>
      <c r="V85" s="20"/>
      <c r="W85" s="20"/>
      <c r="X85" s="20"/>
      <c r="Y85" s="20"/>
      <c r="Z85" s="20"/>
      <c r="AA85" s="20"/>
    </row>
    <row r="86" spans="1:27">
      <c r="A86" s="20"/>
      <c r="B86" s="20"/>
      <c r="C86" s="20"/>
      <c r="D86" s="20"/>
      <c r="E86" s="20"/>
      <c r="F86" s="20"/>
      <c r="G86" s="84"/>
      <c r="H86" s="83"/>
      <c r="I86" s="20"/>
      <c r="J86" s="86"/>
      <c r="K86" s="30"/>
      <c r="L86" s="30"/>
      <c r="M86" s="30"/>
      <c r="N86" s="30"/>
      <c r="O86" s="32"/>
      <c r="P86" s="32"/>
      <c r="Q86" s="32"/>
      <c r="R86" s="32"/>
      <c r="S86" s="32"/>
      <c r="T86" s="32"/>
      <c r="U86" s="20"/>
      <c r="V86" s="20"/>
      <c r="W86" s="20"/>
      <c r="X86" s="20"/>
      <c r="Y86" s="20"/>
      <c r="Z86" s="20"/>
      <c r="AA86" s="20"/>
    </row>
    <row r="87" spans="1:27">
      <c r="A87" s="20"/>
      <c r="B87" s="20"/>
      <c r="C87" s="20"/>
      <c r="D87" s="20"/>
      <c r="E87" s="20"/>
      <c r="F87" s="20"/>
      <c r="G87" s="84"/>
      <c r="H87" s="83"/>
      <c r="I87" s="20"/>
      <c r="J87" s="86"/>
      <c r="K87" s="30"/>
      <c r="L87" s="30"/>
      <c r="M87" s="30"/>
      <c r="N87" s="30"/>
      <c r="O87" s="32"/>
      <c r="P87" s="32"/>
      <c r="Q87" s="32"/>
      <c r="R87" s="32"/>
      <c r="S87" s="32"/>
      <c r="T87" s="32"/>
      <c r="U87" s="20"/>
      <c r="V87" s="20"/>
      <c r="W87" s="20"/>
      <c r="X87" s="20"/>
      <c r="Y87" s="20"/>
      <c r="Z87" s="20"/>
      <c r="AA87" s="20"/>
    </row>
    <row r="88" spans="1:27">
      <c r="A88" s="20"/>
      <c r="B88" s="20"/>
      <c r="C88" s="20"/>
      <c r="D88" s="20"/>
      <c r="E88" s="20"/>
      <c r="F88" s="20"/>
      <c r="G88" s="84"/>
      <c r="H88" s="83"/>
      <c r="I88" s="20"/>
      <c r="J88" s="86"/>
      <c r="K88" s="30"/>
      <c r="L88" s="30"/>
      <c r="M88" s="30"/>
      <c r="N88" s="30"/>
      <c r="O88" s="32"/>
      <c r="P88" s="32"/>
      <c r="Q88" s="32"/>
      <c r="R88" s="32"/>
      <c r="S88" s="32"/>
      <c r="T88" s="32"/>
      <c r="U88" s="20"/>
      <c r="V88" s="20"/>
      <c r="W88" s="20"/>
      <c r="X88" s="20"/>
      <c r="Y88" s="20"/>
      <c r="Z88" s="20"/>
      <c r="AA88" s="20"/>
    </row>
    <row r="89" spans="1:27">
      <c r="A89" s="20"/>
      <c r="B89" s="20"/>
      <c r="C89" s="20"/>
      <c r="D89" s="20"/>
      <c r="E89" s="20"/>
      <c r="F89" s="20"/>
      <c r="G89" s="84"/>
      <c r="H89" s="83"/>
      <c r="I89" s="20"/>
      <c r="J89" s="86"/>
      <c r="K89" s="30"/>
      <c r="L89" s="30"/>
      <c r="M89" s="30"/>
      <c r="N89" s="30"/>
      <c r="O89" s="32"/>
      <c r="P89" s="32"/>
      <c r="Q89" s="32"/>
      <c r="R89" s="32"/>
      <c r="S89" s="32"/>
      <c r="T89" s="32"/>
      <c r="U89" s="20"/>
      <c r="V89" s="20"/>
      <c r="W89" s="20"/>
      <c r="X89" s="20"/>
      <c r="Y89" s="20"/>
      <c r="Z89" s="20"/>
      <c r="AA89" s="20"/>
    </row>
    <row r="90" spans="1:27">
      <c r="A90" s="20"/>
      <c r="B90" s="20"/>
      <c r="C90" s="20"/>
      <c r="D90" s="20"/>
      <c r="E90" s="20"/>
      <c r="F90" s="20"/>
      <c r="G90" s="84"/>
      <c r="H90" s="83"/>
      <c r="I90" s="20"/>
      <c r="J90" s="86"/>
      <c r="K90" s="30"/>
      <c r="L90" s="30"/>
      <c r="M90" s="30"/>
      <c r="N90" s="30"/>
      <c r="O90" s="32"/>
      <c r="P90" s="32"/>
      <c r="Q90" s="32"/>
      <c r="R90" s="32"/>
      <c r="S90" s="32"/>
      <c r="T90" s="32"/>
      <c r="U90" s="20"/>
      <c r="V90" s="20"/>
      <c r="W90" s="20"/>
      <c r="X90" s="20"/>
      <c r="Y90" s="20"/>
      <c r="Z90" s="20"/>
      <c r="AA90" s="20"/>
    </row>
    <row r="91" spans="1:27">
      <c r="A91" s="20"/>
      <c r="B91" s="20"/>
      <c r="C91" s="20"/>
      <c r="D91" s="20"/>
      <c r="E91" s="20"/>
      <c r="F91" s="20"/>
      <c r="G91" s="84"/>
      <c r="H91" s="83"/>
      <c r="I91" s="20"/>
      <c r="J91" s="86"/>
      <c r="K91" s="30"/>
      <c r="L91" s="30"/>
      <c r="M91" s="30"/>
      <c r="N91" s="30"/>
      <c r="O91" s="32"/>
      <c r="P91" s="32"/>
      <c r="Q91" s="32"/>
      <c r="R91" s="32"/>
      <c r="S91" s="32"/>
      <c r="T91" s="32"/>
      <c r="U91" s="20"/>
      <c r="V91" s="20"/>
      <c r="W91" s="20"/>
      <c r="X91" s="20"/>
      <c r="Y91" s="20"/>
      <c r="Z91" s="20"/>
      <c r="AA91" s="20"/>
    </row>
    <row r="92" spans="1:27">
      <c r="A92" s="20"/>
      <c r="B92" s="20"/>
      <c r="C92" s="20"/>
      <c r="D92" s="20"/>
      <c r="E92" s="20"/>
      <c r="F92" s="20"/>
      <c r="G92" s="84"/>
      <c r="H92" s="83"/>
      <c r="I92" s="20"/>
      <c r="J92" s="86"/>
      <c r="K92" s="30"/>
      <c r="L92" s="30"/>
      <c r="M92" s="30"/>
      <c r="N92" s="30"/>
      <c r="O92" s="32"/>
      <c r="P92" s="32"/>
      <c r="Q92" s="32"/>
      <c r="R92" s="32"/>
      <c r="S92" s="32"/>
      <c r="T92" s="32"/>
      <c r="U92" s="20"/>
      <c r="V92" s="20"/>
      <c r="W92" s="20"/>
      <c r="X92" s="20"/>
      <c r="Y92" s="20"/>
      <c r="Z92" s="20"/>
      <c r="AA92" s="20"/>
    </row>
    <row r="93" spans="1:27">
      <c r="A93" s="20"/>
      <c r="B93" s="20"/>
      <c r="C93" s="20"/>
      <c r="D93" s="20"/>
      <c r="E93" s="20"/>
      <c r="F93" s="20"/>
      <c r="G93" s="84"/>
      <c r="H93" s="83"/>
      <c r="I93" s="20"/>
      <c r="J93" s="86"/>
      <c r="K93" s="30"/>
      <c r="L93" s="30"/>
      <c r="M93" s="30"/>
      <c r="N93" s="30"/>
      <c r="O93" s="32"/>
      <c r="P93" s="32"/>
      <c r="Q93" s="32"/>
      <c r="R93" s="32"/>
      <c r="S93" s="32"/>
      <c r="T93" s="32"/>
      <c r="U93" s="20"/>
      <c r="V93" s="20"/>
      <c r="W93" s="20"/>
      <c r="X93" s="20"/>
      <c r="Y93" s="20"/>
      <c r="Z93" s="20"/>
      <c r="AA93" s="20"/>
    </row>
    <row r="94" spans="1:27">
      <c r="A94" s="20"/>
      <c r="B94" s="20"/>
      <c r="C94" s="20"/>
      <c r="D94" s="20"/>
      <c r="E94" s="20"/>
      <c r="F94" s="20"/>
      <c r="G94" s="84"/>
      <c r="H94" s="83"/>
      <c r="I94" s="20"/>
      <c r="J94" s="86"/>
      <c r="K94" s="30"/>
      <c r="L94" s="30"/>
      <c r="M94" s="30"/>
      <c r="N94" s="30"/>
      <c r="O94" s="32"/>
      <c r="P94" s="32"/>
      <c r="Q94" s="32"/>
      <c r="R94" s="32"/>
      <c r="S94" s="32"/>
      <c r="T94" s="32"/>
      <c r="U94" s="20"/>
      <c r="V94" s="20"/>
      <c r="W94" s="20"/>
      <c r="X94" s="20"/>
      <c r="Y94" s="20"/>
      <c r="Z94" s="20"/>
      <c r="AA94" s="20"/>
    </row>
    <row r="95" spans="1:27">
      <c r="A95" s="20"/>
      <c r="B95" s="20"/>
      <c r="C95" s="20"/>
      <c r="D95" s="20"/>
      <c r="E95" s="20"/>
      <c r="F95" s="20"/>
      <c r="G95" s="84"/>
      <c r="H95" s="83"/>
      <c r="I95" s="20"/>
      <c r="J95" s="86"/>
      <c r="K95" s="30"/>
      <c r="L95" s="30"/>
      <c r="M95" s="30"/>
      <c r="N95" s="30"/>
      <c r="O95" s="32"/>
      <c r="P95" s="32"/>
      <c r="Q95" s="32"/>
      <c r="R95" s="32"/>
      <c r="S95" s="32"/>
      <c r="T95" s="32"/>
      <c r="U95" s="20"/>
      <c r="V95" s="20"/>
      <c r="W95" s="20"/>
      <c r="X95" s="20"/>
      <c r="Y95" s="20"/>
      <c r="Z95" s="20"/>
      <c r="AA95" s="20"/>
    </row>
    <row r="96" spans="1:27">
      <c r="A96" s="20"/>
      <c r="B96" s="20"/>
      <c r="C96" s="20"/>
      <c r="D96" s="20"/>
      <c r="E96" s="20"/>
      <c r="F96" s="20"/>
      <c r="G96" s="84"/>
      <c r="H96" s="83"/>
      <c r="I96" s="20"/>
      <c r="J96" s="86"/>
      <c r="K96" s="30"/>
      <c r="L96" s="30"/>
      <c r="M96" s="30"/>
      <c r="N96" s="30"/>
      <c r="O96" s="32"/>
      <c r="P96" s="32"/>
      <c r="Q96" s="32"/>
      <c r="R96" s="32"/>
      <c r="S96" s="32"/>
      <c r="T96" s="32"/>
      <c r="U96" s="20"/>
      <c r="V96" s="20"/>
      <c r="W96" s="20"/>
      <c r="X96" s="20"/>
      <c r="Y96" s="20"/>
      <c r="Z96" s="20"/>
      <c r="AA96" s="20"/>
    </row>
    <row r="97" spans="1:27">
      <c r="A97" s="20"/>
      <c r="B97" s="20"/>
      <c r="C97" s="20"/>
      <c r="D97" s="20"/>
      <c r="E97" s="20"/>
      <c r="F97" s="20"/>
      <c r="G97" s="84"/>
      <c r="H97" s="83"/>
      <c r="I97" s="20"/>
      <c r="J97" s="86"/>
      <c r="K97" s="30"/>
      <c r="L97" s="30"/>
      <c r="M97" s="30"/>
      <c r="N97" s="30"/>
      <c r="O97" s="32"/>
      <c r="P97" s="32"/>
      <c r="Q97" s="32"/>
      <c r="R97" s="32"/>
      <c r="S97" s="32"/>
      <c r="T97" s="32"/>
      <c r="U97" s="20"/>
      <c r="V97" s="20"/>
      <c r="W97" s="20"/>
      <c r="X97" s="20"/>
      <c r="Y97" s="20"/>
      <c r="Z97" s="20"/>
      <c r="AA97" s="20"/>
    </row>
    <row r="98" spans="1:27">
      <c r="A98" s="20"/>
      <c r="B98" s="20"/>
      <c r="C98" s="20"/>
      <c r="D98" s="20"/>
      <c r="E98" s="20"/>
      <c r="F98" s="20"/>
      <c r="G98" s="84"/>
      <c r="H98" s="83"/>
      <c r="I98" s="20"/>
      <c r="J98" s="86"/>
      <c r="K98" s="30"/>
      <c r="L98" s="30"/>
      <c r="M98" s="30"/>
      <c r="N98" s="30"/>
      <c r="O98" s="32"/>
      <c r="P98" s="32"/>
      <c r="Q98" s="32"/>
      <c r="R98" s="32"/>
      <c r="S98" s="32"/>
      <c r="T98" s="32"/>
      <c r="U98" s="20"/>
      <c r="V98" s="20"/>
      <c r="W98" s="20"/>
      <c r="X98" s="20"/>
      <c r="Y98" s="20"/>
      <c r="Z98" s="20"/>
      <c r="AA98" s="20"/>
    </row>
    <row r="99" spans="1:27">
      <c r="A99" s="20"/>
      <c r="B99" s="20"/>
      <c r="C99" s="20"/>
      <c r="D99" s="20"/>
      <c r="E99" s="20"/>
      <c r="F99" s="20"/>
      <c r="G99" s="84"/>
      <c r="H99" s="83"/>
      <c r="I99" s="20"/>
      <c r="J99" s="86"/>
      <c r="K99" s="30"/>
      <c r="L99" s="30"/>
      <c r="M99" s="30"/>
      <c r="N99" s="30"/>
      <c r="O99" s="32"/>
      <c r="P99" s="32"/>
      <c r="Q99" s="32"/>
      <c r="R99" s="32"/>
      <c r="S99" s="32"/>
      <c r="T99" s="32"/>
      <c r="U99" s="20"/>
      <c r="V99" s="20"/>
      <c r="W99" s="20"/>
      <c r="X99" s="20"/>
      <c r="Y99" s="20"/>
      <c r="Z99" s="20"/>
      <c r="AA99" s="20"/>
    </row>
    <row r="100" spans="1:27">
      <c r="A100" s="20"/>
      <c r="B100" s="20"/>
      <c r="C100" s="20"/>
      <c r="D100" s="20"/>
      <c r="E100" s="20"/>
      <c r="F100" s="20"/>
      <c r="G100" s="84"/>
      <c r="H100" s="83"/>
      <c r="I100" s="20"/>
      <c r="J100" s="86"/>
      <c r="K100" s="30"/>
      <c r="L100" s="30"/>
      <c r="M100" s="30"/>
      <c r="N100" s="30"/>
      <c r="O100" s="32"/>
      <c r="P100" s="32"/>
      <c r="Q100" s="32"/>
      <c r="R100" s="32"/>
      <c r="S100" s="32"/>
      <c r="T100" s="32"/>
      <c r="U100" s="20"/>
      <c r="V100" s="20"/>
      <c r="W100" s="20"/>
      <c r="X100" s="20"/>
      <c r="Y100" s="20"/>
      <c r="Z100" s="20"/>
      <c r="AA100" s="20"/>
    </row>
    <row r="101" spans="1:27">
      <c r="A101" s="20"/>
      <c r="B101" s="20"/>
      <c r="C101" s="20"/>
      <c r="D101" s="20"/>
      <c r="E101" s="20"/>
      <c r="F101" s="20"/>
      <c r="G101" s="84"/>
      <c r="H101" s="83"/>
      <c r="I101" s="20"/>
      <c r="J101" s="86"/>
      <c r="K101" s="30"/>
      <c r="L101" s="30"/>
      <c r="M101" s="30"/>
      <c r="N101" s="30"/>
      <c r="O101" s="32"/>
      <c r="P101" s="32"/>
      <c r="Q101" s="32"/>
      <c r="R101" s="32"/>
      <c r="S101" s="32"/>
      <c r="T101" s="32"/>
      <c r="U101" s="20"/>
      <c r="V101" s="20"/>
      <c r="W101" s="20"/>
      <c r="X101" s="20"/>
      <c r="Y101" s="20"/>
      <c r="Z101" s="20"/>
      <c r="AA101" s="20"/>
    </row>
    <row r="102" spans="1:27">
      <c r="A102" s="20"/>
      <c r="B102" s="20"/>
      <c r="C102" s="20"/>
      <c r="D102" s="20"/>
      <c r="E102" s="20"/>
      <c r="F102" s="20"/>
      <c r="G102" s="84"/>
      <c r="H102" s="83"/>
      <c r="I102" s="20"/>
      <c r="J102" s="86"/>
      <c r="K102" s="30"/>
      <c r="L102" s="30"/>
      <c r="M102" s="30"/>
      <c r="N102" s="30"/>
      <c r="O102" s="32"/>
      <c r="P102" s="32"/>
      <c r="Q102" s="32"/>
      <c r="R102" s="32"/>
      <c r="S102" s="32"/>
      <c r="T102" s="32"/>
      <c r="U102" s="20"/>
      <c r="V102" s="20"/>
      <c r="W102" s="20"/>
      <c r="X102" s="20"/>
      <c r="Y102" s="20"/>
      <c r="Z102" s="20"/>
      <c r="AA102" s="20"/>
    </row>
    <row r="103" spans="1:27">
      <c r="A103" s="20"/>
      <c r="B103" s="20"/>
      <c r="C103" s="20"/>
      <c r="D103" s="20"/>
      <c r="E103" s="20"/>
      <c r="F103" s="20"/>
      <c r="G103" s="84"/>
      <c r="H103" s="83"/>
      <c r="I103" s="20"/>
      <c r="J103" s="86"/>
      <c r="K103" s="30"/>
      <c r="L103" s="30"/>
      <c r="M103" s="30"/>
      <c r="N103" s="30"/>
      <c r="O103" s="32"/>
      <c r="P103" s="32"/>
      <c r="Q103" s="32"/>
      <c r="R103" s="32"/>
      <c r="S103" s="32"/>
      <c r="T103" s="32"/>
      <c r="U103" s="20"/>
      <c r="V103" s="20"/>
      <c r="W103" s="20"/>
      <c r="X103" s="20"/>
      <c r="Y103" s="20"/>
      <c r="Z103" s="20"/>
      <c r="AA103" s="20"/>
    </row>
    <row r="104" spans="1:27">
      <c r="A104" s="20"/>
      <c r="B104" s="20"/>
      <c r="C104" s="20"/>
      <c r="D104" s="20"/>
      <c r="E104" s="20"/>
      <c r="F104" s="20"/>
      <c r="G104" s="84"/>
      <c r="H104" s="83"/>
      <c r="I104" s="20"/>
      <c r="J104" s="86"/>
      <c r="K104" s="30"/>
      <c r="L104" s="30"/>
      <c r="M104" s="30"/>
      <c r="N104" s="30"/>
      <c r="O104" s="32"/>
      <c r="P104" s="32"/>
      <c r="Q104" s="32"/>
      <c r="R104" s="32"/>
      <c r="S104" s="32"/>
      <c r="T104" s="32"/>
      <c r="U104" s="20"/>
      <c r="V104" s="20"/>
      <c r="W104" s="20"/>
      <c r="X104" s="20"/>
      <c r="Y104" s="20"/>
      <c r="Z104" s="20"/>
      <c r="AA104" s="20"/>
    </row>
    <row r="105" spans="1:27">
      <c r="A105" s="20"/>
      <c r="B105" s="20"/>
      <c r="C105" s="20"/>
      <c r="D105" s="20"/>
      <c r="E105" s="20"/>
      <c r="F105" s="20"/>
      <c r="G105" s="84"/>
      <c r="H105" s="83"/>
      <c r="I105" s="20"/>
      <c r="J105" s="86"/>
      <c r="K105" s="30"/>
      <c r="L105" s="30"/>
      <c r="M105" s="30"/>
      <c r="N105" s="30"/>
      <c r="O105" s="32"/>
      <c r="P105" s="32"/>
      <c r="Q105" s="32"/>
      <c r="R105" s="32"/>
      <c r="S105" s="32"/>
      <c r="T105" s="32"/>
      <c r="U105" s="20"/>
      <c r="V105" s="20"/>
      <c r="W105" s="20"/>
      <c r="X105" s="20"/>
      <c r="Y105" s="20"/>
      <c r="Z105" s="20"/>
      <c r="AA105" s="20"/>
    </row>
    <row r="106" spans="1:27">
      <c r="A106" s="20"/>
      <c r="B106" s="20"/>
      <c r="C106" s="20"/>
      <c r="D106" s="20"/>
      <c r="E106" s="20"/>
      <c r="F106" s="20"/>
      <c r="G106" s="84"/>
      <c r="H106" s="83"/>
      <c r="I106" s="20"/>
      <c r="J106" s="86"/>
      <c r="K106" s="30"/>
      <c r="L106" s="30"/>
      <c r="M106" s="30"/>
      <c r="N106" s="30"/>
      <c r="O106" s="32"/>
      <c r="P106" s="32"/>
      <c r="Q106" s="32"/>
      <c r="R106" s="32"/>
      <c r="S106" s="32"/>
      <c r="T106" s="32"/>
      <c r="U106" s="20"/>
      <c r="V106" s="20"/>
      <c r="W106" s="20"/>
      <c r="X106" s="20"/>
      <c r="Y106" s="20"/>
      <c r="Z106" s="20"/>
      <c r="AA106" s="20"/>
    </row>
    <row r="107" spans="1:27">
      <c r="A107" s="20"/>
      <c r="B107" s="20"/>
      <c r="C107" s="20"/>
      <c r="D107" s="20"/>
      <c r="E107" s="20"/>
      <c r="F107" s="20"/>
      <c r="G107" s="84"/>
      <c r="H107" s="83"/>
      <c r="I107" s="20"/>
      <c r="J107" s="86"/>
      <c r="K107" s="30"/>
      <c r="L107" s="30"/>
      <c r="M107" s="30"/>
      <c r="N107" s="30"/>
      <c r="O107" s="32"/>
      <c r="P107" s="32"/>
      <c r="Q107" s="32"/>
      <c r="R107" s="32"/>
      <c r="S107" s="32"/>
      <c r="T107" s="32"/>
      <c r="U107" s="20"/>
      <c r="V107" s="20"/>
      <c r="W107" s="20"/>
      <c r="X107" s="20"/>
      <c r="Y107" s="20"/>
      <c r="Z107" s="20"/>
      <c r="AA107" s="20"/>
    </row>
    <row r="108" spans="1:27">
      <c r="A108" s="20"/>
      <c r="B108" s="20"/>
      <c r="C108" s="20"/>
      <c r="D108" s="20"/>
      <c r="E108" s="20"/>
      <c r="F108" s="20"/>
      <c r="G108" s="84"/>
      <c r="H108" s="83"/>
      <c r="I108" s="20"/>
      <c r="J108" s="86"/>
      <c r="K108" s="30"/>
      <c r="L108" s="30"/>
      <c r="M108" s="30"/>
      <c r="N108" s="30"/>
      <c r="O108" s="32"/>
      <c r="P108" s="32"/>
      <c r="Q108" s="32"/>
      <c r="R108" s="32"/>
      <c r="S108" s="32"/>
      <c r="T108" s="32"/>
      <c r="U108" s="20"/>
      <c r="V108" s="20"/>
      <c r="W108" s="20"/>
      <c r="X108" s="20"/>
      <c r="Y108" s="20"/>
      <c r="Z108" s="20"/>
      <c r="AA108" s="20"/>
    </row>
    <row r="109" spans="1:27">
      <c r="A109" s="20"/>
      <c r="B109" s="20"/>
      <c r="C109" s="20"/>
      <c r="D109" s="20"/>
      <c r="E109" s="20"/>
      <c r="F109" s="20"/>
      <c r="G109" s="84"/>
      <c r="H109" s="83"/>
      <c r="I109" s="20"/>
      <c r="J109" s="86"/>
      <c r="K109" s="30"/>
      <c r="L109" s="30"/>
      <c r="M109" s="30"/>
      <c r="N109" s="30"/>
      <c r="O109" s="32"/>
      <c r="P109" s="32"/>
      <c r="Q109" s="32"/>
      <c r="R109" s="32"/>
      <c r="S109" s="32"/>
      <c r="T109" s="32"/>
      <c r="U109" s="20"/>
      <c r="V109" s="20"/>
      <c r="W109" s="20"/>
      <c r="X109" s="20"/>
      <c r="Y109" s="20"/>
      <c r="Z109" s="20"/>
      <c r="AA109" s="20"/>
    </row>
    <row r="110" spans="1:27">
      <c r="A110" s="20"/>
      <c r="B110" s="20"/>
      <c r="C110" s="20"/>
      <c r="D110" s="20"/>
      <c r="E110" s="20"/>
      <c r="F110" s="20"/>
      <c r="G110" s="84"/>
      <c r="H110" s="83"/>
      <c r="I110" s="20"/>
      <c r="J110" s="86"/>
      <c r="K110" s="30"/>
      <c r="L110" s="30"/>
      <c r="M110" s="30"/>
      <c r="N110" s="30"/>
      <c r="O110" s="32"/>
      <c r="P110" s="32"/>
      <c r="Q110" s="32"/>
      <c r="R110" s="32"/>
      <c r="S110" s="32"/>
      <c r="T110" s="32"/>
      <c r="U110" s="20"/>
      <c r="V110" s="20"/>
      <c r="W110" s="20"/>
      <c r="X110" s="20"/>
      <c r="Y110" s="20"/>
      <c r="Z110" s="20"/>
      <c r="AA110" s="20"/>
    </row>
    <row r="111" spans="1:27">
      <c r="A111" s="20"/>
      <c r="B111" s="20"/>
      <c r="C111" s="20"/>
      <c r="D111" s="20"/>
      <c r="E111" s="20"/>
      <c r="F111" s="20"/>
      <c r="G111" s="84"/>
      <c r="H111" s="83"/>
      <c r="I111" s="20"/>
      <c r="J111" s="86"/>
      <c r="K111" s="30"/>
      <c r="L111" s="30"/>
      <c r="M111" s="30"/>
      <c r="N111" s="30"/>
      <c r="O111" s="32"/>
      <c r="P111" s="32"/>
      <c r="Q111" s="32"/>
      <c r="R111" s="32"/>
      <c r="S111" s="32"/>
      <c r="T111" s="32"/>
      <c r="U111" s="20"/>
      <c r="V111" s="20"/>
      <c r="W111" s="20"/>
      <c r="X111" s="20"/>
      <c r="Y111" s="20"/>
      <c r="Z111" s="20"/>
      <c r="AA111" s="20"/>
    </row>
    <row r="112" spans="1:27">
      <c r="A112" s="20"/>
      <c r="B112" s="20"/>
      <c r="C112" s="20"/>
      <c r="D112" s="20"/>
      <c r="E112" s="20"/>
      <c r="F112" s="20"/>
      <c r="G112" s="84"/>
      <c r="H112" s="83"/>
      <c r="I112" s="20"/>
      <c r="J112" s="86"/>
      <c r="K112" s="30"/>
      <c r="L112" s="30"/>
      <c r="M112" s="30"/>
      <c r="N112" s="30"/>
      <c r="O112" s="32"/>
      <c r="P112" s="32"/>
      <c r="Q112" s="32"/>
      <c r="R112" s="32"/>
      <c r="S112" s="32"/>
      <c r="T112" s="32"/>
      <c r="U112" s="20"/>
      <c r="V112" s="20"/>
      <c r="W112" s="20"/>
      <c r="X112" s="20"/>
      <c r="Y112" s="20"/>
      <c r="Z112" s="20"/>
      <c r="AA112" s="20"/>
    </row>
    <row r="113" spans="1:27">
      <c r="A113" s="20"/>
      <c r="B113" s="20"/>
      <c r="C113" s="20"/>
      <c r="D113" s="20"/>
      <c r="E113" s="20"/>
      <c r="F113" s="20"/>
      <c r="G113" s="84"/>
      <c r="H113" s="83"/>
      <c r="I113" s="20"/>
      <c r="J113" s="86"/>
      <c r="K113" s="30"/>
      <c r="L113" s="30"/>
      <c r="M113" s="30"/>
      <c r="N113" s="30"/>
      <c r="O113" s="32"/>
      <c r="P113" s="32"/>
      <c r="Q113" s="32"/>
      <c r="R113" s="32"/>
      <c r="S113" s="32"/>
      <c r="T113" s="32"/>
      <c r="U113" s="20"/>
      <c r="V113" s="20"/>
      <c r="W113" s="20"/>
      <c r="X113" s="20"/>
      <c r="Y113" s="20"/>
      <c r="Z113" s="20"/>
      <c r="AA113" s="20"/>
    </row>
    <row r="114" spans="1:27">
      <c r="A114" s="20"/>
      <c r="B114" s="20"/>
      <c r="C114" s="20"/>
      <c r="D114" s="20"/>
      <c r="E114" s="20"/>
      <c r="F114" s="20"/>
      <c r="G114" s="84"/>
      <c r="H114" s="83"/>
      <c r="I114" s="20"/>
      <c r="J114" s="86"/>
      <c r="K114" s="30"/>
      <c r="L114" s="30"/>
      <c r="M114" s="30"/>
      <c r="N114" s="30"/>
      <c r="O114" s="32"/>
      <c r="P114" s="32"/>
      <c r="Q114" s="32"/>
      <c r="R114" s="32"/>
      <c r="S114" s="32"/>
      <c r="T114" s="32"/>
      <c r="U114" s="20"/>
      <c r="V114" s="20"/>
      <c r="W114" s="20"/>
      <c r="X114" s="20"/>
      <c r="Y114" s="20"/>
      <c r="Z114" s="20"/>
      <c r="AA114" s="20"/>
    </row>
    <row r="115" spans="1:27">
      <c r="A115" s="20"/>
      <c r="B115" s="20"/>
      <c r="C115" s="20"/>
      <c r="D115" s="20"/>
      <c r="E115" s="20"/>
      <c r="F115" s="20"/>
      <c r="G115" s="84"/>
      <c r="H115" s="83"/>
      <c r="I115" s="20"/>
      <c r="J115" s="86"/>
      <c r="K115" s="30"/>
      <c r="L115" s="30"/>
      <c r="M115" s="30"/>
      <c r="N115" s="30"/>
      <c r="O115" s="32"/>
      <c r="P115" s="32"/>
      <c r="Q115" s="32"/>
      <c r="R115" s="32"/>
      <c r="S115" s="32"/>
      <c r="T115" s="32"/>
      <c r="U115" s="20"/>
      <c r="V115" s="20"/>
      <c r="W115" s="20"/>
      <c r="X115" s="20"/>
      <c r="Y115" s="20"/>
      <c r="Z115" s="20"/>
      <c r="AA115" s="20"/>
    </row>
    <row r="116" spans="1:27">
      <c r="A116" s="20"/>
      <c r="B116" s="20"/>
      <c r="C116" s="20"/>
      <c r="D116" s="20"/>
      <c r="E116" s="20"/>
      <c r="F116" s="20"/>
      <c r="G116" s="84"/>
      <c r="H116" s="83"/>
      <c r="I116" s="20"/>
      <c r="J116" s="86"/>
      <c r="K116" s="30"/>
      <c r="L116" s="30"/>
      <c r="M116" s="30"/>
      <c r="N116" s="30"/>
      <c r="O116" s="32"/>
      <c r="P116" s="32"/>
      <c r="Q116" s="32"/>
      <c r="R116" s="32"/>
      <c r="S116" s="32"/>
      <c r="T116" s="32"/>
      <c r="U116" s="20"/>
      <c r="V116" s="20"/>
      <c r="W116" s="20"/>
      <c r="X116" s="20"/>
      <c r="Y116" s="20"/>
      <c r="Z116" s="20"/>
      <c r="AA116" s="20"/>
    </row>
    <row r="117" spans="1:27">
      <c r="A117" s="20"/>
      <c r="B117" s="20"/>
      <c r="C117" s="20"/>
      <c r="D117" s="20"/>
      <c r="E117" s="20"/>
      <c r="F117" s="20"/>
      <c r="G117" s="84"/>
      <c r="H117" s="83"/>
      <c r="I117" s="20"/>
      <c r="J117" s="86"/>
      <c r="K117" s="30"/>
      <c r="L117" s="30"/>
      <c r="M117" s="30"/>
      <c r="N117" s="30"/>
      <c r="O117" s="32"/>
      <c r="P117" s="32"/>
      <c r="Q117" s="32"/>
      <c r="R117" s="32"/>
      <c r="S117" s="32"/>
      <c r="T117" s="32"/>
      <c r="U117" s="20"/>
      <c r="V117" s="20"/>
      <c r="W117" s="20"/>
      <c r="X117" s="20"/>
      <c r="Y117" s="20"/>
      <c r="Z117" s="20"/>
      <c r="AA117" s="20"/>
    </row>
    <row r="118" spans="1:27">
      <c r="A118" s="20"/>
      <c r="B118" s="20"/>
      <c r="C118" s="20"/>
      <c r="D118" s="20"/>
      <c r="E118" s="20"/>
      <c r="F118" s="20"/>
      <c r="G118" s="84"/>
      <c r="H118" s="83"/>
      <c r="I118" s="20"/>
      <c r="J118" s="86"/>
      <c r="K118" s="30"/>
      <c r="L118" s="30"/>
      <c r="M118" s="30"/>
      <c r="N118" s="30"/>
      <c r="O118" s="32"/>
      <c r="P118" s="32"/>
      <c r="Q118" s="32"/>
      <c r="R118" s="32"/>
      <c r="S118" s="32"/>
      <c r="T118" s="32"/>
      <c r="U118" s="20"/>
      <c r="V118" s="20"/>
      <c r="W118" s="20"/>
      <c r="X118" s="20"/>
      <c r="Y118" s="20"/>
      <c r="Z118" s="20"/>
      <c r="AA118" s="20"/>
    </row>
    <row r="119" spans="1:27">
      <c r="A119" s="20"/>
      <c r="B119" s="20"/>
      <c r="C119" s="20"/>
      <c r="D119" s="20"/>
      <c r="E119" s="20"/>
      <c r="F119" s="20"/>
      <c r="G119" s="84"/>
      <c r="H119" s="83"/>
      <c r="I119" s="20"/>
      <c r="J119" s="86"/>
      <c r="K119" s="30"/>
      <c r="L119" s="30"/>
      <c r="M119" s="30"/>
      <c r="N119" s="30"/>
      <c r="O119" s="32"/>
      <c r="P119" s="32"/>
      <c r="Q119" s="32"/>
      <c r="R119" s="32"/>
      <c r="S119" s="32"/>
      <c r="T119" s="32"/>
      <c r="U119" s="20"/>
      <c r="V119" s="20"/>
      <c r="W119" s="20"/>
      <c r="X119" s="20"/>
      <c r="Y119" s="20"/>
      <c r="Z119" s="20"/>
      <c r="AA119" s="20"/>
    </row>
    <row r="120" spans="1:27">
      <c r="A120" s="20"/>
      <c r="B120" s="20"/>
      <c r="C120" s="20"/>
      <c r="D120" s="20"/>
      <c r="E120" s="20"/>
      <c r="F120" s="20"/>
      <c r="G120" s="84"/>
      <c r="H120" s="83"/>
      <c r="I120" s="20"/>
      <c r="J120" s="86"/>
      <c r="K120" s="30"/>
      <c r="L120" s="30"/>
      <c r="M120" s="30"/>
      <c r="N120" s="30"/>
      <c r="O120" s="32"/>
      <c r="P120" s="32"/>
      <c r="Q120" s="32"/>
      <c r="R120" s="32"/>
      <c r="S120" s="32"/>
      <c r="T120" s="32"/>
      <c r="U120" s="20"/>
      <c r="V120" s="20"/>
      <c r="W120" s="20"/>
      <c r="X120" s="20"/>
      <c r="Y120" s="20"/>
      <c r="Z120" s="20"/>
      <c r="AA120" s="20"/>
    </row>
    <row r="121" spans="1:27">
      <c r="A121" s="20"/>
      <c r="B121" s="20"/>
      <c r="C121" s="20"/>
      <c r="D121" s="20"/>
      <c r="E121" s="20"/>
      <c r="F121" s="20"/>
      <c r="G121" s="84"/>
      <c r="H121" s="83"/>
      <c r="I121" s="20"/>
      <c r="J121" s="86"/>
      <c r="K121" s="30"/>
      <c r="L121" s="30"/>
      <c r="M121" s="30"/>
      <c r="N121" s="30"/>
      <c r="O121" s="32"/>
      <c r="P121" s="32"/>
      <c r="Q121" s="32"/>
      <c r="R121" s="32"/>
      <c r="S121" s="32"/>
      <c r="T121" s="32"/>
      <c r="U121" s="20"/>
      <c r="V121" s="20"/>
      <c r="W121" s="20"/>
      <c r="X121" s="20"/>
      <c r="Y121" s="20"/>
      <c r="Z121" s="20"/>
      <c r="AA121" s="20"/>
    </row>
    <row r="122" spans="1:27">
      <c r="A122" s="20"/>
      <c r="B122" s="20"/>
      <c r="C122" s="20"/>
      <c r="D122" s="20"/>
      <c r="E122" s="20"/>
      <c r="F122" s="20"/>
      <c r="G122" s="84"/>
      <c r="H122" s="83"/>
      <c r="I122" s="20"/>
      <c r="J122" s="86"/>
      <c r="K122" s="30"/>
      <c r="L122" s="30"/>
      <c r="M122" s="30"/>
      <c r="N122" s="30"/>
      <c r="O122" s="32"/>
      <c r="P122" s="32"/>
      <c r="Q122" s="32"/>
      <c r="R122" s="32"/>
      <c r="S122" s="32"/>
      <c r="T122" s="32"/>
      <c r="U122" s="20"/>
      <c r="V122" s="20"/>
      <c r="W122" s="20"/>
      <c r="X122" s="20"/>
      <c r="Y122" s="20"/>
      <c r="Z122" s="20"/>
      <c r="AA122" s="20"/>
    </row>
    <row r="123" spans="1:27">
      <c r="A123" s="20"/>
      <c r="B123" s="20"/>
      <c r="C123" s="20"/>
      <c r="D123" s="20"/>
      <c r="E123" s="20"/>
      <c r="F123" s="20"/>
      <c r="G123" s="84"/>
      <c r="H123" s="83"/>
      <c r="I123" s="20"/>
      <c r="J123" s="86"/>
      <c r="K123" s="30"/>
      <c r="L123" s="30"/>
      <c r="M123" s="30"/>
      <c r="N123" s="30"/>
      <c r="O123" s="32"/>
      <c r="P123" s="32"/>
      <c r="Q123" s="32"/>
      <c r="R123" s="32"/>
      <c r="S123" s="32"/>
      <c r="T123" s="32"/>
      <c r="U123" s="20"/>
      <c r="V123" s="20"/>
      <c r="W123" s="20"/>
      <c r="X123" s="20"/>
      <c r="Y123" s="20"/>
      <c r="Z123" s="20"/>
      <c r="AA123" s="20"/>
    </row>
    <row r="124" spans="1:27">
      <c r="A124" s="20"/>
      <c r="B124" s="20"/>
      <c r="C124" s="20"/>
      <c r="D124" s="20"/>
      <c r="E124" s="20"/>
      <c r="F124" s="20"/>
      <c r="G124" s="84"/>
      <c r="H124" s="83"/>
      <c r="I124" s="20"/>
      <c r="J124" s="86"/>
      <c r="K124" s="30"/>
      <c r="L124" s="30"/>
      <c r="M124" s="30"/>
      <c r="N124" s="30"/>
      <c r="O124" s="32"/>
      <c r="P124" s="32"/>
      <c r="Q124" s="32"/>
      <c r="R124" s="32"/>
      <c r="S124" s="32"/>
      <c r="T124" s="32"/>
      <c r="U124" s="20"/>
      <c r="V124" s="20"/>
      <c r="W124" s="20"/>
      <c r="X124" s="20"/>
      <c r="Y124" s="20"/>
      <c r="Z124" s="20"/>
      <c r="AA124" s="20"/>
    </row>
    <row r="125" spans="1:27">
      <c r="A125" s="20"/>
      <c r="B125" s="20"/>
      <c r="C125" s="20"/>
      <c r="D125" s="20"/>
      <c r="E125" s="20"/>
      <c r="F125" s="20"/>
      <c r="G125" s="84"/>
      <c r="H125" s="83"/>
      <c r="I125" s="20"/>
      <c r="J125" s="86"/>
      <c r="K125" s="30"/>
      <c r="L125" s="30"/>
      <c r="M125" s="30"/>
      <c r="N125" s="30"/>
      <c r="O125" s="32"/>
      <c r="P125" s="32"/>
      <c r="Q125" s="32"/>
      <c r="R125" s="32"/>
      <c r="S125" s="32"/>
      <c r="T125" s="32"/>
      <c r="U125" s="20"/>
      <c r="V125" s="20"/>
      <c r="W125" s="20"/>
      <c r="X125" s="20"/>
      <c r="Y125" s="20"/>
      <c r="Z125" s="20"/>
      <c r="AA125" s="20"/>
    </row>
    <row r="126" spans="1:27">
      <c r="A126" s="20"/>
      <c r="B126" s="20"/>
      <c r="C126" s="20"/>
      <c r="D126" s="20"/>
      <c r="E126" s="20"/>
      <c r="F126" s="20"/>
      <c r="G126" s="84"/>
      <c r="H126" s="83"/>
      <c r="I126" s="20"/>
      <c r="J126" s="86"/>
      <c r="K126" s="30"/>
      <c r="L126" s="30"/>
      <c r="M126" s="30"/>
      <c r="N126" s="30"/>
      <c r="O126" s="32"/>
      <c r="P126" s="32"/>
      <c r="Q126" s="32"/>
      <c r="R126" s="32"/>
      <c r="S126" s="32"/>
      <c r="T126" s="32"/>
      <c r="U126" s="20"/>
      <c r="V126" s="20"/>
      <c r="W126" s="20"/>
      <c r="X126" s="20"/>
      <c r="Y126" s="20"/>
      <c r="Z126" s="20"/>
      <c r="AA126" s="20"/>
    </row>
    <row r="127" spans="1:27">
      <c r="A127" s="20"/>
      <c r="B127" s="20"/>
      <c r="C127" s="20"/>
      <c r="D127" s="20"/>
      <c r="E127" s="20"/>
      <c r="F127" s="20"/>
      <c r="G127" s="84"/>
      <c r="H127" s="83"/>
      <c r="I127" s="20"/>
      <c r="J127" s="86"/>
      <c r="K127" s="30"/>
      <c r="L127" s="30"/>
      <c r="M127" s="30"/>
      <c r="N127" s="30"/>
      <c r="O127" s="32"/>
      <c r="P127" s="32"/>
      <c r="Q127" s="32"/>
      <c r="R127" s="32"/>
      <c r="S127" s="32"/>
      <c r="T127" s="32"/>
      <c r="U127" s="20"/>
      <c r="V127" s="20"/>
      <c r="W127" s="20"/>
      <c r="X127" s="20"/>
      <c r="Y127" s="20"/>
      <c r="Z127" s="20"/>
      <c r="AA127" s="20"/>
    </row>
    <row r="128" spans="1:27">
      <c r="A128" s="20"/>
      <c r="B128" s="20"/>
      <c r="C128" s="20"/>
      <c r="D128" s="20"/>
      <c r="E128" s="20"/>
      <c r="F128" s="20"/>
      <c r="G128" s="84"/>
      <c r="H128" s="83"/>
      <c r="I128" s="20"/>
      <c r="J128" s="86"/>
      <c r="K128" s="30"/>
      <c r="L128" s="30"/>
      <c r="M128" s="30"/>
      <c r="N128" s="30"/>
      <c r="O128" s="32"/>
      <c r="P128" s="32"/>
      <c r="Q128" s="32"/>
      <c r="R128" s="32"/>
      <c r="S128" s="32"/>
      <c r="T128" s="32"/>
      <c r="U128" s="20"/>
      <c r="V128" s="20"/>
      <c r="W128" s="20"/>
      <c r="X128" s="20"/>
      <c r="Y128" s="20"/>
      <c r="Z128" s="20"/>
      <c r="AA128" s="20"/>
    </row>
    <row r="129" spans="1:27">
      <c r="A129" s="20"/>
      <c r="B129" s="20"/>
      <c r="C129" s="20"/>
      <c r="D129" s="20"/>
      <c r="E129" s="20"/>
      <c r="F129" s="20"/>
      <c r="G129" s="84"/>
      <c r="H129" s="83"/>
      <c r="I129" s="20"/>
      <c r="J129" s="86"/>
      <c r="K129" s="30"/>
      <c r="L129" s="30"/>
      <c r="M129" s="30"/>
      <c r="N129" s="30"/>
      <c r="O129" s="32"/>
      <c r="P129" s="32"/>
      <c r="Q129" s="32"/>
      <c r="R129" s="32"/>
      <c r="S129" s="32"/>
      <c r="T129" s="32"/>
      <c r="U129" s="20"/>
      <c r="V129" s="20"/>
      <c r="W129" s="20"/>
      <c r="X129" s="20"/>
      <c r="Y129" s="20"/>
      <c r="Z129" s="20"/>
      <c r="AA129" s="20"/>
    </row>
    <row r="130" spans="1:27">
      <c r="A130" s="20"/>
      <c r="B130" s="20"/>
      <c r="C130" s="20"/>
      <c r="D130" s="20"/>
      <c r="E130" s="20"/>
      <c r="F130" s="20"/>
      <c r="G130" s="84"/>
      <c r="H130" s="83"/>
      <c r="I130" s="20"/>
      <c r="J130" s="86"/>
      <c r="K130" s="30"/>
      <c r="L130" s="30"/>
      <c r="M130" s="30"/>
      <c r="N130" s="30"/>
      <c r="O130" s="32"/>
      <c r="P130" s="32"/>
      <c r="Q130" s="32"/>
      <c r="R130" s="32"/>
      <c r="S130" s="32"/>
      <c r="T130" s="32"/>
      <c r="U130" s="20"/>
      <c r="V130" s="20"/>
      <c r="W130" s="20"/>
      <c r="X130" s="20"/>
      <c r="Y130" s="20"/>
      <c r="Z130" s="20"/>
      <c r="AA130" s="20"/>
    </row>
    <row r="131" spans="1:27">
      <c r="A131" s="20"/>
      <c r="B131" s="20"/>
      <c r="C131" s="20"/>
      <c r="D131" s="20"/>
      <c r="E131" s="20"/>
      <c r="F131" s="20"/>
      <c r="G131" s="84"/>
      <c r="H131" s="83"/>
      <c r="I131" s="20"/>
      <c r="J131" s="86"/>
      <c r="K131" s="30"/>
      <c r="L131" s="30"/>
      <c r="M131" s="30"/>
      <c r="N131" s="30"/>
      <c r="O131" s="32"/>
      <c r="P131" s="32"/>
      <c r="Q131" s="32"/>
      <c r="R131" s="32"/>
      <c r="S131" s="32"/>
      <c r="T131" s="32"/>
      <c r="U131" s="20"/>
      <c r="V131" s="20"/>
      <c r="W131" s="20"/>
      <c r="X131" s="20"/>
      <c r="Y131" s="20"/>
      <c r="Z131" s="20"/>
      <c r="AA131" s="20"/>
    </row>
    <row r="132" spans="1:27">
      <c r="A132" s="20"/>
      <c r="B132" s="20"/>
      <c r="C132" s="20"/>
      <c r="D132" s="20"/>
      <c r="E132" s="20"/>
      <c r="F132" s="20"/>
      <c r="G132" s="84"/>
      <c r="H132" s="83"/>
      <c r="I132" s="20"/>
      <c r="J132" s="86"/>
      <c r="K132" s="30"/>
      <c r="L132" s="30"/>
      <c r="M132" s="30"/>
      <c r="N132" s="30"/>
      <c r="O132" s="32"/>
      <c r="P132" s="32"/>
      <c r="Q132" s="32"/>
      <c r="R132" s="32"/>
      <c r="S132" s="32"/>
      <c r="T132" s="32"/>
      <c r="U132" s="20"/>
      <c r="V132" s="20"/>
      <c r="W132" s="20"/>
      <c r="X132" s="20"/>
      <c r="Y132" s="20"/>
      <c r="Z132" s="20"/>
      <c r="AA132" s="20"/>
    </row>
    <row r="133" spans="1:27">
      <c r="A133" s="20"/>
      <c r="B133" s="20"/>
      <c r="C133" s="20"/>
      <c r="D133" s="20"/>
      <c r="E133" s="20"/>
      <c r="F133" s="20"/>
      <c r="G133" s="84"/>
      <c r="H133" s="83"/>
      <c r="I133" s="20"/>
      <c r="J133" s="86"/>
      <c r="K133" s="30"/>
      <c r="L133" s="30"/>
      <c r="M133" s="30"/>
      <c r="N133" s="30"/>
      <c r="O133" s="32"/>
      <c r="P133" s="32"/>
      <c r="Q133" s="32"/>
      <c r="R133" s="32"/>
      <c r="S133" s="32"/>
      <c r="T133" s="32"/>
      <c r="U133" s="20"/>
      <c r="V133" s="20"/>
      <c r="W133" s="20"/>
      <c r="X133" s="20"/>
      <c r="Y133" s="20"/>
      <c r="Z133" s="20"/>
      <c r="AA133" s="20"/>
    </row>
    <row r="134" spans="1:27">
      <c r="A134" s="20"/>
      <c r="B134" s="20"/>
      <c r="C134" s="20"/>
      <c r="D134" s="20"/>
      <c r="E134" s="20"/>
      <c r="F134" s="20"/>
      <c r="G134" s="84"/>
      <c r="H134" s="83"/>
      <c r="I134" s="20"/>
      <c r="J134" s="86"/>
      <c r="K134" s="30"/>
      <c r="L134" s="30"/>
      <c r="M134" s="30"/>
      <c r="N134" s="30"/>
      <c r="O134" s="32"/>
      <c r="P134" s="32"/>
      <c r="Q134" s="32"/>
      <c r="R134" s="32"/>
      <c r="S134" s="32"/>
      <c r="T134" s="32"/>
      <c r="U134" s="20"/>
      <c r="V134" s="20"/>
      <c r="W134" s="20"/>
      <c r="X134" s="20"/>
      <c r="Y134" s="20"/>
      <c r="Z134" s="20"/>
      <c r="AA134" s="20"/>
    </row>
    <row r="135" spans="1:27">
      <c r="A135" s="20"/>
      <c r="B135" s="20"/>
      <c r="C135" s="20"/>
      <c r="D135" s="20"/>
      <c r="E135" s="20"/>
      <c r="F135" s="20"/>
      <c r="G135" s="84"/>
      <c r="H135" s="83"/>
      <c r="I135" s="20"/>
      <c r="J135" s="86"/>
      <c r="K135" s="30"/>
      <c r="L135" s="30"/>
      <c r="M135" s="30"/>
      <c r="N135" s="30"/>
      <c r="O135" s="32"/>
      <c r="P135" s="32"/>
      <c r="Q135" s="32"/>
      <c r="R135" s="32"/>
      <c r="S135" s="32"/>
      <c r="T135" s="32"/>
      <c r="U135" s="20"/>
      <c r="V135" s="20"/>
      <c r="W135" s="20"/>
      <c r="X135" s="20"/>
      <c r="Y135" s="20"/>
      <c r="Z135" s="20"/>
      <c r="AA135" s="20"/>
    </row>
    <row r="136" spans="1:27">
      <c r="A136" s="20"/>
      <c r="B136" s="20"/>
      <c r="C136" s="20"/>
      <c r="D136" s="20"/>
      <c r="E136" s="20"/>
      <c r="F136" s="20"/>
      <c r="G136" s="84"/>
      <c r="H136" s="83"/>
      <c r="I136" s="20"/>
      <c r="J136" s="86"/>
      <c r="K136" s="30"/>
      <c r="L136" s="30"/>
      <c r="M136" s="30"/>
      <c r="N136" s="30"/>
      <c r="O136" s="32"/>
      <c r="P136" s="32"/>
      <c r="Q136" s="32"/>
      <c r="R136" s="32"/>
      <c r="S136" s="32"/>
      <c r="T136" s="32"/>
      <c r="U136" s="20"/>
      <c r="V136" s="20"/>
      <c r="W136" s="20"/>
      <c r="X136" s="20"/>
      <c r="Y136" s="20"/>
      <c r="Z136" s="20"/>
      <c r="AA136" s="20"/>
    </row>
    <row r="137" spans="1:27">
      <c r="A137" s="20"/>
      <c r="B137" s="20"/>
      <c r="C137" s="20"/>
      <c r="D137" s="20"/>
      <c r="E137" s="20"/>
      <c r="F137" s="20"/>
      <c r="G137" s="84"/>
      <c r="H137" s="83"/>
      <c r="I137" s="20"/>
      <c r="J137" s="86"/>
      <c r="K137" s="30"/>
      <c r="L137" s="30"/>
      <c r="M137" s="30"/>
      <c r="N137" s="30"/>
      <c r="O137" s="32"/>
      <c r="P137" s="32"/>
      <c r="Q137" s="32"/>
      <c r="R137" s="32"/>
      <c r="S137" s="32"/>
      <c r="T137" s="32"/>
      <c r="U137" s="20"/>
      <c r="V137" s="20"/>
      <c r="W137" s="20"/>
      <c r="X137" s="20"/>
      <c r="Y137" s="20"/>
      <c r="Z137" s="20"/>
      <c r="AA137" s="20"/>
    </row>
    <row r="138" spans="1:27">
      <c r="A138" s="20"/>
      <c r="B138" s="20"/>
      <c r="C138" s="20"/>
      <c r="D138" s="20"/>
      <c r="E138" s="20"/>
      <c r="F138" s="20"/>
      <c r="G138" s="84"/>
      <c r="H138" s="83"/>
      <c r="I138" s="20"/>
      <c r="J138" s="86"/>
      <c r="K138" s="30"/>
      <c r="L138" s="30"/>
      <c r="M138" s="30"/>
      <c r="N138" s="30"/>
      <c r="O138" s="32"/>
      <c r="P138" s="32"/>
      <c r="Q138" s="32"/>
      <c r="R138" s="32"/>
      <c r="S138" s="32"/>
      <c r="T138" s="32"/>
      <c r="U138" s="20"/>
      <c r="V138" s="20"/>
      <c r="W138" s="20"/>
      <c r="X138" s="20"/>
      <c r="Y138" s="20"/>
      <c r="Z138" s="20"/>
      <c r="AA138" s="20"/>
    </row>
  </sheetData>
  <sheetCalcPr fullCalcOnLoad="1"/>
  <phoneticPr fontId="3" type="noConversion"/>
  <pageMargins left="0.75" right="0.75" top="1" bottom="1" header="0.5" footer="0.5"/>
  <pageSetup paperSize="9" scale="87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11</vt:i4>
      </vt:variant>
    </vt:vector>
  </HeadingPairs>
  <TitlesOfParts>
    <vt:vector size="27" baseType="lpstr">
      <vt:lpstr>szkoły</vt:lpstr>
      <vt:lpstr>wyniki</vt:lpstr>
      <vt:lpstr>60m</vt:lpstr>
      <vt:lpstr>PPAL</vt:lpstr>
      <vt:lpstr>Wzwyż</vt:lpstr>
      <vt:lpstr>W dal</vt:lpstr>
      <vt:lpstr>600m</vt:lpstr>
      <vt:lpstr>4boj</vt:lpstr>
      <vt:lpstr>I DZIEN</vt:lpstr>
      <vt:lpstr>II DZIEN</vt:lpstr>
      <vt:lpstr>kolejka</vt:lpstr>
      <vt:lpstr>wydruk</vt:lpstr>
      <vt:lpstr>nazwy_wojewodztw</vt:lpstr>
      <vt:lpstr>woj_ranking</vt:lpstr>
      <vt:lpstr>SINGLE</vt:lpstr>
      <vt:lpstr>baza</vt:lpstr>
      <vt:lpstr>'4boj'!Obszar_wydruku</vt:lpstr>
      <vt:lpstr>'600m'!Obszar_wydruku</vt:lpstr>
      <vt:lpstr>'60m'!Obszar_wydruku</vt:lpstr>
      <vt:lpstr>'I DZIEN'!Obszar_wydruku</vt:lpstr>
      <vt:lpstr>'II DZIEN'!Obszar_wydruku</vt:lpstr>
      <vt:lpstr>PPAL!Obszar_wydruku</vt:lpstr>
      <vt:lpstr>szkoły!Obszar_wydruku</vt:lpstr>
      <vt:lpstr>'W dal'!Obszar_wydruku</vt:lpstr>
      <vt:lpstr>woj_ranking!Obszar_wydruku</vt:lpstr>
      <vt:lpstr>wydruk!Obszar_wydruku</vt:lpstr>
      <vt:lpstr>Wzwyż!Obszar_wydruku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Vader</dc:creator>
  <cp:lastModifiedBy>Sekretariat</cp:lastModifiedBy>
  <cp:lastPrinted>2005-06-28T20:32:59Z</cp:lastPrinted>
  <dcterms:created xsi:type="dcterms:W3CDTF">2005-04-05T12:32:04Z</dcterms:created>
  <dcterms:modified xsi:type="dcterms:W3CDTF">2023-06-01T10:59:30Z</dcterms:modified>
</cp:coreProperties>
</file>